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ghbal\Pictures\"/>
    </mc:Choice>
  </mc:AlternateContent>
  <bookViews>
    <workbookView showHorizontalScroll="0" showVerticalScroll="0" showSheetTabs="0" xWindow="0" yWindow="0" windowWidth="17430" windowHeight="8130" tabRatio="929" activeTab="2"/>
    <workbookView xWindow="0" yWindow="0" windowWidth="28800" windowHeight="13020" activeTab="2"/>
  </bookViews>
  <sheets>
    <sheet name="روکش" sheetId="4" r:id="rId1"/>
    <sheet name="خلاصه مالی" sheetId="5" r:id="rId2"/>
    <sheet name="ریزمتره1" sheetId="9" r:id="rId3"/>
    <sheet name="کسورات" sheetId="10" r:id="rId4"/>
    <sheet name="94.04.22" sheetId="11" r:id="rId5"/>
    <sheet name="Sheet1" sheetId="12" r:id="rId6"/>
    <sheet name="ریزمتره1 (2)" sheetId="13" r:id="rId7"/>
  </sheets>
  <externalReferences>
    <externalReference r:id="rId8"/>
    <externalReference r:id="rId9"/>
  </externalReferences>
  <definedNames>
    <definedName name="_xlnm._FilterDatabase" localSheetId="2" hidden="1">ریزمتره1!$B$10:$R$10</definedName>
    <definedName name="_xlnm._FilterDatabase" localSheetId="6" hidden="1">'ریزمتره1 (2)'!$B$10:$R$130</definedName>
    <definedName name="_xlnm._FilterDatabase" localSheetId="3" hidden="1">کسورات!$E$10:$S$53</definedName>
    <definedName name="_xlnm.Print_Area" localSheetId="4">'94.04.22'!$C$2:$H$43</definedName>
    <definedName name="_xlnm.Print_Area" localSheetId="1">'خلاصه مالی'!$B$2:$S$41</definedName>
    <definedName name="_xlnm.Print_Area" localSheetId="0">روکش!$B$2:$S$45</definedName>
    <definedName name="_xlnm.Print_Area" localSheetId="2">ریزمتره1!$A$2:$T$86</definedName>
    <definedName name="_xlnm.Print_Area" localSheetId="6">'ریزمتره1 (2)'!$A$2:$T$130</definedName>
    <definedName name="_xlnm.Print_Area" localSheetId="3">کسورات!$C$2:$T$61</definedName>
    <definedName name="_xlnm.Print_Titles" localSheetId="0">روکش!$2:$41</definedName>
    <definedName name="_xlnm.Print_Titles" localSheetId="2">ریزمتره1!$2:$10</definedName>
    <definedName name="_xlnm.Print_Titles" localSheetId="6">'ریزمتره1 (2)'!$2:$10</definedName>
    <definedName name="_xlnm.Print_Titles" localSheetId="3">کسورات!$2:$10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9" l="1"/>
  <c r="X49" i="9"/>
  <c r="U30" i="9"/>
  <c r="U28" i="9"/>
  <c r="U26" i="9"/>
  <c r="U24" i="9"/>
  <c r="O20" i="5" l="1"/>
  <c r="L20" i="5"/>
  <c r="I13" i="5"/>
  <c r="I16" i="5"/>
  <c r="I17" i="5"/>
  <c r="I18" i="5"/>
  <c r="I19" i="5"/>
  <c r="P86" i="9"/>
  <c r="K21" i="5" s="1"/>
  <c r="C86" i="9"/>
  <c r="N60" i="9"/>
  <c r="N61" i="9"/>
  <c r="N62" i="9"/>
  <c r="N63" i="9"/>
  <c r="N59" i="9"/>
  <c r="N43" i="9"/>
  <c r="N44" i="9"/>
  <c r="N45" i="9"/>
  <c r="N46" i="9"/>
  <c r="N48" i="9"/>
  <c r="P49" i="9" s="1"/>
  <c r="N42" i="9"/>
  <c r="N20" i="9"/>
  <c r="N22" i="9"/>
  <c r="N23" i="9"/>
  <c r="N25" i="9"/>
  <c r="N27" i="9"/>
  <c r="N29" i="9"/>
  <c r="N31" i="9"/>
  <c r="N14" i="9"/>
  <c r="N13" i="9"/>
  <c r="P15" i="9" s="1"/>
  <c r="K11" i="5" s="1"/>
  <c r="C15" i="9"/>
  <c r="U14" i="9"/>
  <c r="U13" i="9"/>
  <c r="C32" i="9"/>
  <c r="P32" i="9" l="1"/>
  <c r="K12" i="5" s="1"/>
  <c r="K14" i="5"/>
  <c r="P40" i="9"/>
  <c r="H7" i="12"/>
  <c r="H4" i="12"/>
  <c r="G7" i="12"/>
  <c r="F7" i="12"/>
  <c r="G1" i="12"/>
  <c r="E1" i="12"/>
  <c r="G9" i="12" l="1"/>
  <c r="H8" i="12"/>
  <c r="F5" i="12"/>
  <c r="H5" i="12" s="1"/>
  <c r="F10" i="12"/>
  <c r="H10" i="12" s="1"/>
  <c r="F9" i="12"/>
  <c r="H6" i="12"/>
  <c r="H9" i="12"/>
  <c r="I130" i="13"/>
  <c r="N130" i="13" s="1"/>
  <c r="N129" i="13"/>
  <c r="W128" i="13"/>
  <c r="N128" i="13"/>
  <c r="W127" i="13"/>
  <c r="N127" i="13"/>
  <c r="W126" i="13"/>
  <c r="N126" i="13"/>
  <c r="N125" i="13"/>
  <c r="J124" i="13"/>
  <c r="W124" i="13" s="1"/>
  <c r="W123" i="13"/>
  <c r="N123" i="13"/>
  <c r="W122" i="13"/>
  <c r="N122" i="13"/>
  <c r="N121" i="13"/>
  <c r="J120" i="13"/>
  <c r="N120" i="13" s="1"/>
  <c r="W119" i="13"/>
  <c r="N119" i="13"/>
  <c r="W118" i="13"/>
  <c r="N118" i="13"/>
  <c r="W117" i="13"/>
  <c r="N117" i="13"/>
  <c r="W116" i="13"/>
  <c r="N116" i="13"/>
  <c r="N115" i="13"/>
  <c r="W114" i="13"/>
  <c r="J114" i="13"/>
  <c r="N114" i="13" s="1"/>
  <c r="W113" i="13"/>
  <c r="N113" i="13"/>
  <c r="W112" i="13"/>
  <c r="N112" i="13"/>
  <c r="W111" i="13"/>
  <c r="N111" i="13"/>
  <c r="W110" i="13"/>
  <c r="N110" i="13"/>
  <c r="X109" i="13"/>
  <c r="N109" i="13"/>
  <c r="X108" i="13"/>
  <c r="N108" i="13"/>
  <c r="N107" i="13"/>
  <c r="W106" i="13"/>
  <c r="N106" i="13"/>
  <c r="W105" i="13"/>
  <c r="N105" i="13"/>
  <c r="V104" i="13"/>
  <c r="N104" i="13"/>
  <c r="N103" i="13"/>
  <c r="W102" i="13"/>
  <c r="N102" i="13"/>
  <c r="W101" i="13"/>
  <c r="N101" i="13"/>
  <c r="W100" i="13"/>
  <c r="N100" i="13"/>
  <c r="W99" i="13"/>
  <c r="N99" i="13"/>
  <c r="W98" i="13"/>
  <c r="N98" i="13"/>
  <c r="W97" i="13"/>
  <c r="N97" i="13"/>
  <c r="N96" i="13"/>
  <c r="W95" i="13"/>
  <c r="N95" i="13"/>
  <c r="W94" i="13"/>
  <c r="N94" i="13"/>
  <c r="V93" i="13"/>
  <c r="N93" i="13"/>
  <c r="N92" i="13"/>
  <c r="W91" i="13"/>
  <c r="N91" i="13"/>
  <c r="W90" i="13"/>
  <c r="N90" i="13"/>
  <c r="W89" i="13"/>
  <c r="N89" i="13"/>
  <c r="W88" i="13"/>
  <c r="N88" i="13"/>
  <c r="N87" i="13"/>
  <c r="N86" i="13"/>
  <c r="N85" i="13"/>
  <c r="N84" i="13"/>
  <c r="I83" i="13"/>
  <c r="N83" i="13" s="1"/>
  <c r="N82" i="13"/>
  <c r="N81" i="13"/>
  <c r="N80" i="13"/>
  <c r="V79" i="13"/>
  <c r="N79" i="13"/>
  <c r="V78" i="13"/>
  <c r="N78" i="13"/>
  <c r="V77" i="13"/>
  <c r="N77" i="13"/>
  <c r="V76" i="13"/>
  <c r="N76" i="13"/>
  <c r="V75" i="13"/>
  <c r="N75" i="13"/>
  <c r="I74" i="13"/>
  <c r="V74" i="13" s="1"/>
  <c r="I73" i="13"/>
  <c r="N73" i="13" s="1"/>
  <c r="N72" i="13"/>
  <c r="I71" i="13"/>
  <c r="V71" i="13" s="1"/>
  <c r="N70" i="13"/>
  <c r="I69" i="13"/>
  <c r="N69" i="13" s="1"/>
  <c r="N68" i="13"/>
  <c r="V67" i="13"/>
  <c r="N67" i="13"/>
  <c r="V66" i="13"/>
  <c r="N66" i="13"/>
  <c r="I65" i="13"/>
  <c r="N65" i="13" s="1"/>
  <c r="I64" i="13"/>
  <c r="N64" i="13" s="1"/>
  <c r="I63" i="13"/>
  <c r="N63" i="13" s="1"/>
  <c r="U60" i="13"/>
  <c r="N60" i="13"/>
  <c r="U59" i="13"/>
  <c r="N59" i="13"/>
  <c r="I58" i="13"/>
  <c r="U58" i="13" s="1"/>
  <c r="N56" i="13"/>
  <c r="N55" i="13"/>
  <c r="N54" i="13"/>
  <c r="N53" i="13"/>
  <c r="V52" i="13"/>
  <c r="N52" i="13"/>
  <c r="V51" i="13"/>
  <c r="N51" i="13"/>
  <c r="V50" i="13"/>
  <c r="N50" i="13"/>
  <c r="V49" i="13"/>
  <c r="N49" i="13"/>
  <c r="V48" i="13"/>
  <c r="N48" i="13"/>
  <c r="J47" i="13"/>
  <c r="V47" i="13" s="1"/>
  <c r="V46" i="13"/>
  <c r="N46" i="13"/>
  <c r="V45" i="13"/>
  <c r="N45" i="13"/>
  <c r="V44" i="13"/>
  <c r="N44" i="13"/>
  <c r="V43" i="13"/>
  <c r="N43" i="13"/>
  <c r="I41" i="13"/>
  <c r="I42" i="13" s="1"/>
  <c r="N42" i="13" s="1"/>
  <c r="N40" i="13"/>
  <c r="N39" i="13"/>
  <c r="N38" i="13"/>
  <c r="N37" i="13"/>
  <c r="I35" i="13"/>
  <c r="N35" i="13" s="1"/>
  <c r="U34" i="13"/>
  <c r="N34" i="13"/>
  <c r="U33" i="13"/>
  <c r="N33" i="13"/>
  <c r="U32" i="13"/>
  <c r="N32" i="13"/>
  <c r="N31" i="13"/>
  <c r="N30" i="13"/>
  <c r="N29" i="13"/>
  <c r="N28" i="13"/>
  <c r="N27" i="13"/>
  <c r="N26" i="13"/>
  <c r="N25" i="13"/>
  <c r="N24" i="13"/>
  <c r="N23" i="13"/>
  <c r="N22" i="13"/>
  <c r="I21" i="13"/>
  <c r="N21" i="13" s="1"/>
  <c r="U20" i="13"/>
  <c r="N20" i="13"/>
  <c r="U19" i="13"/>
  <c r="N19" i="13"/>
  <c r="U18" i="13"/>
  <c r="N18" i="13"/>
  <c r="U17" i="13"/>
  <c r="N17" i="13"/>
  <c r="U16" i="13"/>
  <c r="N16" i="13"/>
  <c r="U15" i="13"/>
  <c r="N15" i="13"/>
  <c r="U14" i="13"/>
  <c r="N14" i="13"/>
  <c r="U13" i="13"/>
  <c r="N13" i="13"/>
  <c r="U12" i="13"/>
  <c r="N12" i="13"/>
  <c r="U11" i="13"/>
  <c r="N11" i="13"/>
  <c r="M8" i="13"/>
  <c r="J8" i="13"/>
  <c r="F8" i="13"/>
  <c r="P6" i="13"/>
  <c r="F5" i="13"/>
  <c r="F4" i="13"/>
  <c r="I62" i="13" l="1"/>
  <c r="N62" i="13" s="1"/>
  <c r="W120" i="13"/>
  <c r="X130" i="13"/>
  <c r="N124" i="13"/>
  <c r="N47" i="13"/>
  <c r="N41" i="13"/>
  <c r="U61" i="13"/>
  <c r="U62" i="13" s="1"/>
  <c r="V105" i="13"/>
  <c r="V106" i="13" s="1"/>
  <c r="I61" i="13"/>
  <c r="I36" i="13"/>
  <c r="N36" i="13" s="1"/>
  <c r="N58" i="13"/>
  <c r="N74" i="13"/>
  <c r="N71" i="13"/>
  <c r="W48" i="9"/>
  <c r="W49" i="9" s="1"/>
  <c r="U19" i="9"/>
  <c r="U20" i="9"/>
  <c r="U22" i="9"/>
  <c r="U23" i="9"/>
  <c r="U25" i="9"/>
  <c r="U27" i="9"/>
  <c r="U29" i="9"/>
  <c r="U31" i="9"/>
  <c r="U17" i="9"/>
  <c r="N61" i="13" l="1"/>
  <c r="A19" i="5" l="1"/>
  <c r="L19" i="5"/>
  <c r="M19" i="5"/>
  <c r="O19" i="5" s="1"/>
  <c r="V25" i="4"/>
  <c r="V25" i="10"/>
  <c r="Q50" i="10"/>
  <c r="H5" i="10" l="1"/>
  <c r="Q58" i="10" l="1"/>
  <c r="Q54" i="10"/>
  <c r="Q55" i="10"/>
  <c r="Q56" i="10"/>
  <c r="Q57" i="10"/>
  <c r="M53" i="10"/>
  <c r="L26" i="4"/>
  <c r="X58" i="9" l="1"/>
  <c r="W58" i="9" l="1"/>
  <c r="F5" i="9" l="1"/>
  <c r="L16" i="5" l="1"/>
  <c r="L17" i="5"/>
  <c r="L18" i="5"/>
  <c r="N83" i="9" l="1"/>
  <c r="N79" i="9"/>
  <c r="P80" i="9" s="1"/>
  <c r="N75" i="9"/>
  <c r="P76" i="9" s="1"/>
  <c r="M13" i="5"/>
  <c r="M16" i="5"/>
  <c r="O16" i="5" s="1"/>
  <c r="M17" i="5"/>
  <c r="O17" i="5" s="1"/>
  <c r="M18" i="5"/>
  <c r="O18" i="5" s="1"/>
  <c r="C34" i="9"/>
  <c r="C74" i="9"/>
  <c r="C76" i="9" s="1"/>
  <c r="C78" i="9"/>
  <c r="C80" i="9" s="1"/>
  <c r="C82" i="9"/>
  <c r="I11" i="5"/>
  <c r="V20" i="11"/>
  <c r="E19" i="11"/>
  <c r="H19" i="11" s="1"/>
  <c r="H15" i="11"/>
  <c r="E15" i="11"/>
  <c r="E13" i="11"/>
  <c r="H13" i="11" s="1"/>
  <c r="H11" i="11"/>
  <c r="E11" i="11"/>
  <c r="E9" i="11"/>
  <c r="H9" i="11" s="1"/>
  <c r="H7" i="11"/>
  <c r="H6" i="11"/>
  <c r="H5" i="11"/>
  <c r="E28" i="11"/>
  <c r="E17" i="11" l="1"/>
  <c r="H17" i="11" s="1"/>
  <c r="G27" i="11" s="1"/>
  <c r="C72" i="9" l="1"/>
  <c r="P72" i="9"/>
  <c r="C68" i="9" l="1"/>
  <c r="P68" i="9"/>
  <c r="M49" i="10" l="1"/>
  <c r="N64" i="9"/>
  <c r="P64" i="9" s="1"/>
  <c r="K15" i="5" s="1"/>
  <c r="C64" i="9"/>
  <c r="N54" i="9"/>
  <c r="K53" i="9"/>
  <c r="N53" i="9" s="1"/>
  <c r="K52" i="9"/>
  <c r="N52" i="9" s="1"/>
  <c r="K55" i="9"/>
  <c r="N55" i="9" l="1"/>
  <c r="P56" i="9" s="1"/>
  <c r="C56" i="9"/>
  <c r="Q49" i="10" l="1"/>
  <c r="N8" i="10" l="1"/>
  <c r="K8" i="10"/>
  <c r="G8" i="10"/>
  <c r="F58" i="10"/>
  <c r="Q53" i="10"/>
  <c r="F49" i="10"/>
  <c r="R6" i="10"/>
  <c r="R5" i="10"/>
  <c r="V4" i="10"/>
  <c r="H4" i="10"/>
  <c r="L25" i="4" l="1"/>
  <c r="A12" i="5"/>
  <c r="A13" i="5"/>
  <c r="C39" i="9"/>
  <c r="N38" i="9"/>
  <c r="P39" i="9" s="1"/>
  <c r="P35" i="9" l="1"/>
  <c r="K13" i="5" s="1"/>
  <c r="L13" i="5" s="1"/>
  <c r="O13" i="5" s="1"/>
  <c r="L15" i="5" l="1"/>
  <c r="O15" i="5" s="1"/>
  <c r="L12" i="5"/>
  <c r="O12" i="5" s="1"/>
  <c r="L14" i="5"/>
  <c r="O14" i="5" s="1"/>
  <c r="C35" i="9"/>
  <c r="M10" i="4" l="1"/>
  <c r="H16" i="4" l="1"/>
  <c r="E23" i="5"/>
  <c r="E24" i="5"/>
  <c r="E25" i="5"/>
  <c r="E26" i="5"/>
  <c r="J8" i="9"/>
  <c r="P6" i="9"/>
  <c r="F4" i="9"/>
  <c r="I23" i="5" l="1"/>
  <c r="I24" i="5"/>
  <c r="I25" i="5"/>
  <c r="I26" i="5"/>
  <c r="E37" i="4" l="1"/>
  <c r="A16" i="5" l="1"/>
  <c r="A17" i="5"/>
  <c r="A18" i="5"/>
  <c r="A21" i="5"/>
  <c r="A23" i="5"/>
  <c r="K23" i="5" s="1"/>
  <c r="A24" i="5"/>
  <c r="K24" i="5" s="1"/>
  <c r="A25" i="5"/>
  <c r="K25" i="5" s="1"/>
  <c r="A26" i="5"/>
  <c r="K26" i="5" s="1"/>
  <c r="A15" i="5"/>
  <c r="A11" i="5"/>
  <c r="L11" i="5" s="1"/>
  <c r="O11" i="5" s="1"/>
  <c r="A14" i="5"/>
  <c r="G5" i="5"/>
  <c r="G4" i="5"/>
  <c r="Q6" i="5"/>
  <c r="Q5" i="5"/>
  <c r="L8" i="5"/>
  <c r="I8" i="5"/>
  <c r="G27" i="5" s="1"/>
  <c r="F8" i="5"/>
  <c r="L24" i="5" l="1"/>
  <c r="O24" i="5" s="1"/>
  <c r="L23" i="5"/>
  <c r="O23" i="5" s="1"/>
  <c r="L26" i="5"/>
  <c r="O26" i="5" s="1"/>
  <c r="L21" i="5"/>
  <c r="O21" i="5" s="1"/>
  <c r="L25" i="5"/>
  <c r="O25" i="5" s="1"/>
  <c r="H33" i="4"/>
  <c r="H20" i="4"/>
  <c r="O27" i="5" l="1"/>
  <c r="V27" i="5" s="1"/>
  <c r="H18" i="4"/>
  <c r="E28" i="4"/>
  <c r="L16" i="4" l="1"/>
  <c r="L20" i="4" s="1"/>
  <c r="L22" i="4" l="1"/>
  <c r="Z46" i="5"/>
  <c r="AA46" i="5" s="1"/>
  <c r="AA48" i="5" s="1"/>
  <c r="L29" i="4" l="1"/>
  <c r="K33" i="4" s="1"/>
  <c r="AH23" i="4" s="1"/>
  <c r="AB48" i="5"/>
  <c r="AD48" i="5" s="1"/>
  <c r="AA50" i="5"/>
  <c r="AA52" i="5" s="1"/>
  <c r="AB46" i="5"/>
  <c r="AD46" i="5" s="1"/>
  <c r="AI23" i="4" l="1"/>
  <c r="AI25" i="4" s="1"/>
  <c r="AB47" i="5"/>
  <c r="AD49" i="5"/>
  <c r="AF48" i="5"/>
  <c r="AF49" i="5" s="1"/>
  <c r="AB52" i="5"/>
  <c r="AD52" i="5" s="1"/>
  <c r="AF52" i="5" s="1"/>
  <c r="AB50" i="5"/>
  <c r="AD50" i="5" s="1"/>
  <c r="AF50" i="5" s="1"/>
  <c r="AB49" i="5"/>
  <c r="AD47" i="5"/>
  <c r="AF46" i="5"/>
  <c r="AF47" i="5" s="1"/>
  <c r="AJ25" i="4" l="1"/>
  <c r="AJ26" i="4" s="1"/>
  <c r="AI27" i="4"/>
  <c r="AI29" i="4" s="1"/>
  <c r="AJ29" i="4" s="1"/>
  <c r="AJ30" i="4" s="1"/>
  <c r="AJ23" i="4"/>
  <c r="AJ24" i="4" s="1"/>
  <c r="AE47" i="5"/>
  <c r="AE49" i="5"/>
  <c r="AG48" i="5"/>
  <c r="AG47" i="5"/>
  <c r="AC47" i="5"/>
  <c r="AF53" i="5"/>
  <c r="AD53" i="5"/>
  <c r="AG49" i="5"/>
  <c r="AB53" i="5"/>
  <c r="AC53" i="5"/>
  <c r="AF51" i="5"/>
  <c r="AD51" i="5"/>
  <c r="AC49" i="5"/>
  <c r="AG50" i="5"/>
  <c r="AG51" i="5"/>
  <c r="AB51" i="5"/>
  <c r="AC51" i="5"/>
  <c r="AG46" i="5"/>
  <c r="AL29" i="4" l="1"/>
  <c r="AL30" i="4" s="1"/>
  <c r="AJ27" i="4"/>
  <c r="AL27" i="4" s="1"/>
  <c r="AN27" i="4" s="1"/>
  <c r="AL23" i="4"/>
  <c r="AL24" i="4" s="1"/>
  <c r="AL25" i="4"/>
  <c r="AE51" i="5"/>
  <c r="AE53" i="5"/>
  <c r="AN29" i="4" l="1"/>
  <c r="AK30" i="4" s="1"/>
  <c r="AO27" i="4"/>
  <c r="AJ28" i="4"/>
  <c r="AK28" i="4"/>
  <c r="AN28" i="4"/>
  <c r="AL28" i="4"/>
  <c r="AN23" i="4"/>
  <c r="AN24" i="4" s="1"/>
  <c r="AM24" i="4" s="1"/>
  <c r="AN25" i="4"/>
  <c r="AO25" i="4" s="1"/>
  <c r="AL26" i="4"/>
  <c r="Z47" i="5"/>
  <c r="F28" i="5" s="1"/>
  <c r="AO28" i="4" l="1"/>
  <c r="AN30" i="4"/>
  <c r="AM30" i="4" s="1"/>
  <c r="AO23" i="4"/>
  <c r="AM28" i="4"/>
  <c r="AK24" i="4"/>
  <c r="AN26" i="4"/>
  <c r="AM26" i="4" s="1"/>
  <c r="AK26" i="4"/>
  <c r="AO24" i="4"/>
  <c r="AO26" i="4"/>
  <c r="AH24" i="4" l="1"/>
  <c r="K34" i="4" s="1"/>
</calcChain>
</file>

<file path=xl/sharedStrings.xml><?xml version="1.0" encoding="utf-8"?>
<sst xmlns="http://schemas.openxmlformats.org/spreadsheetml/2006/main" count="1228" uniqueCount="481">
  <si>
    <t>ردیف</t>
  </si>
  <si>
    <t>واحد</t>
  </si>
  <si>
    <t>به حروف</t>
  </si>
  <si>
    <t>کسورات</t>
  </si>
  <si>
    <t>شرح</t>
  </si>
  <si>
    <t>ریال</t>
  </si>
  <si>
    <t>مقدار جزئی</t>
  </si>
  <si>
    <t>طول</t>
  </si>
  <si>
    <t>عرض</t>
  </si>
  <si>
    <t>ارتفاع</t>
  </si>
  <si>
    <t>تعداد</t>
  </si>
  <si>
    <t>شرکت مهندسی و اجراءِ ژالکه</t>
  </si>
  <si>
    <t xml:space="preserve">روکش صورت وضعیت تجمیعی </t>
  </si>
  <si>
    <t>صورت وضعیت</t>
  </si>
  <si>
    <t>موقت</t>
  </si>
  <si>
    <t>قطعی</t>
  </si>
  <si>
    <t>خلاصه مالی</t>
  </si>
  <si>
    <t>پیمانکار</t>
  </si>
  <si>
    <t>موضوع پیمان</t>
  </si>
  <si>
    <t>شماره پیمان</t>
  </si>
  <si>
    <t>مبلغ پیمان</t>
  </si>
  <si>
    <t>نماینده پیمانکار</t>
  </si>
  <si>
    <t>از تاریخ</t>
  </si>
  <si>
    <t>تا تاریخ</t>
  </si>
  <si>
    <t>تاریخ پیمان</t>
  </si>
  <si>
    <t>مدت پیمان</t>
  </si>
  <si>
    <t>مدت تأخیر</t>
  </si>
  <si>
    <t>مبلغ کل</t>
  </si>
  <si>
    <t>مبلغ ناخالص</t>
  </si>
  <si>
    <t>صورت وضعیت قبل</t>
  </si>
  <si>
    <t>شماره</t>
  </si>
  <si>
    <t>مجموع کسورات</t>
  </si>
  <si>
    <t>پاداش</t>
  </si>
  <si>
    <t>مبلغ خالص</t>
  </si>
  <si>
    <t>به عدد</t>
  </si>
  <si>
    <t>سمت</t>
  </si>
  <si>
    <t>نام و نام خانوادگی</t>
  </si>
  <si>
    <t>امضاء</t>
  </si>
  <si>
    <t>مسئول انبار</t>
  </si>
  <si>
    <t>سرپرست HSE</t>
  </si>
  <si>
    <t>سرپرست کارگاه</t>
  </si>
  <si>
    <t>امور مالی</t>
  </si>
  <si>
    <t>P</t>
  </si>
  <si>
    <t>O</t>
  </si>
  <si>
    <t>نام و نام خانوادگی پیمانکار</t>
  </si>
  <si>
    <t>شماره صورت وضعیت</t>
  </si>
  <si>
    <t>تاریخ صورت وضعیت</t>
  </si>
  <si>
    <t>صفحه</t>
  </si>
  <si>
    <t>نقل از</t>
  </si>
  <si>
    <t>بهای واحد</t>
  </si>
  <si>
    <t>بهای کل</t>
  </si>
  <si>
    <t>خلاصه مالی صورت وضعیت تجمیعی</t>
  </si>
  <si>
    <t>مجموع ریالی صورت وضعیت شماره</t>
  </si>
  <si>
    <t>ریال (به عدد)</t>
  </si>
  <si>
    <t>ریز متره صورت وضعیت تجمیعی</t>
  </si>
  <si>
    <t>مقدار کل</t>
  </si>
  <si>
    <t>-</t>
  </si>
  <si>
    <t>ارسلان ایل بیگی</t>
  </si>
  <si>
    <t>هزینه لوازم دریافتی (کفش ایمنی و دستکش و..)</t>
  </si>
  <si>
    <t>نسخه دفتر فنی</t>
  </si>
  <si>
    <t>نسخه دفتر مرکزی</t>
  </si>
  <si>
    <t>نسخه امور مالی</t>
  </si>
  <si>
    <t>نسخه پیمانکار</t>
  </si>
  <si>
    <t>نقل از دوره قبل</t>
  </si>
  <si>
    <t>مقدار دوره</t>
  </si>
  <si>
    <t>1-1</t>
  </si>
  <si>
    <t>1-2</t>
  </si>
  <si>
    <t>1-3</t>
  </si>
  <si>
    <t>1-4</t>
  </si>
  <si>
    <t>بلوک</t>
  </si>
  <si>
    <t>تراز</t>
  </si>
  <si>
    <t>موقعیت</t>
  </si>
  <si>
    <t>مترمربع</t>
  </si>
  <si>
    <t>حسن انجام کار (10%)</t>
  </si>
  <si>
    <t xml:space="preserve"> دفترفنی</t>
  </si>
  <si>
    <t>صادق شیشه گر</t>
  </si>
  <si>
    <t>----</t>
  </si>
  <si>
    <t>کنترل کیفیت</t>
  </si>
  <si>
    <t>بیمه مسئولیت مدنی</t>
  </si>
  <si>
    <t>مبلغ تجمعی</t>
  </si>
  <si>
    <t>A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</si>
  <si>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</si>
  <si>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</si>
  <si>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</si>
  <si>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</si>
  <si>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</si>
  <si>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</si>
  <si>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</si>
  <si>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</si>
  <si>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</si>
  <si>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</si>
  <si>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</si>
  <si>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</si>
  <si>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</si>
  <si>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</si>
  <si>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</si>
  <si>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</si>
  <si>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</si>
  <si>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</si>
  <si>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</si>
  <si>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</si>
  <si>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</si>
  <si>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عدد</t>
  </si>
  <si>
    <t>2-1</t>
  </si>
  <si>
    <t>2-2</t>
  </si>
  <si>
    <t>2-3</t>
  </si>
  <si>
    <t>معاونت اجرایی</t>
  </si>
  <si>
    <t>4-1</t>
  </si>
  <si>
    <t>نصب کف شوی خطی</t>
  </si>
  <si>
    <t>5-1</t>
  </si>
  <si>
    <t>کسورات صورت وضعیت تجمیعی</t>
  </si>
  <si>
    <t>شرح کسورات</t>
  </si>
  <si>
    <t>قیمت واحد</t>
  </si>
  <si>
    <t>قیمت کل (ريال)</t>
  </si>
  <si>
    <t>نفر-روز</t>
  </si>
  <si>
    <t>تعداد نفرات مورخ 1397/04/25</t>
  </si>
  <si>
    <t>1-42</t>
  </si>
  <si>
    <t>هزینه لوازم دریافتی (کفش ایمنی، لباس کار، دستکش و تایپ و تکثیر صورت وضعیت و..)</t>
  </si>
  <si>
    <t>ريال</t>
  </si>
  <si>
    <t>تایپ و تکثیر صورت وضعیت</t>
  </si>
  <si>
    <t>شمال محور 10 B~J</t>
  </si>
  <si>
    <t>برگ</t>
  </si>
  <si>
    <t>+4.00</t>
  </si>
  <si>
    <t>نصب سرامیک بدنه به ابعاد 20*20 با بند 4 میلیمتری به وسیله چسب کاشی</t>
  </si>
  <si>
    <t>A205,206,207,226,228,227</t>
  </si>
  <si>
    <t>A112,114,111,113</t>
  </si>
  <si>
    <t>A110</t>
  </si>
  <si>
    <t>کسر میگردد محل درب</t>
  </si>
  <si>
    <t>7-1</t>
  </si>
  <si>
    <t>7-2</t>
  </si>
  <si>
    <t>±0.00</t>
  </si>
  <si>
    <t>هوابند کردن دیوارهای داخلی به وسیله گچ کاری</t>
  </si>
  <si>
    <t>8-1</t>
  </si>
  <si>
    <t>8-2</t>
  </si>
  <si>
    <t>قیمت مقطوع</t>
  </si>
  <si>
    <t>علی الحساب دریافتی</t>
  </si>
  <si>
    <t>4-2</t>
  </si>
  <si>
    <t>9-1</t>
  </si>
  <si>
    <t>تعداد نفرات مورخ 1397/04/26</t>
  </si>
  <si>
    <t>تعداد نفرات مورخ 1397/04/27</t>
  </si>
  <si>
    <t>تعداد نفرات مورخ 1397/04/28</t>
  </si>
  <si>
    <t>تعداد نفرات مورخ 1397/04/29</t>
  </si>
  <si>
    <t>تعداد نفرات مورخ 1397/04/30</t>
  </si>
  <si>
    <t>تعداد نفرات مورخ 1397/04/31</t>
  </si>
  <si>
    <t>تعداد نفرات مورخ 1397/05/01</t>
  </si>
  <si>
    <t>تعداد نفرات مورخ 1397/05/02</t>
  </si>
  <si>
    <t>تعداد نفرات مورخ 1397/05/03</t>
  </si>
  <si>
    <t>تعداد نفرات مورخ 1397/05/04</t>
  </si>
  <si>
    <t>تعداد نفرات مورخ 1397/05/05</t>
  </si>
  <si>
    <t>تعداد نفرات مورخ 1397/05/06</t>
  </si>
  <si>
    <t>تعداد نفرات مورخ 1397/05/07</t>
  </si>
  <si>
    <t>تعداد نفرات مورخ 1397/05/08</t>
  </si>
  <si>
    <t>تعداد نفرات مورخ 1397/05/09</t>
  </si>
  <si>
    <t>تعداد نفرات مورخ 1397/05/10</t>
  </si>
  <si>
    <t>تعداد نفرات مورخ 1397/05/11</t>
  </si>
  <si>
    <t>تعداد نفرات مورخ 1397/05/12</t>
  </si>
  <si>
    <t>تعداد نفرات مورخ 1397/05/13</t>
  </si>
  <si>
    <t>تعداد نفرات مورخ 1397/05/14</t>
  </si>
  <si>
    <t>تعداد نفرات مورخ 1397/05/15</t>
  </si>
  <si>
    <t>تعداد نفرات مورخ 1397/05/16</t>
  </si>
  <si>
    <t>تعداد نفرات مورخ 1397/05/17</t>
  </si>
  <si>
    <t>تعداد نفرات مورخ 1397/05/18</t>
  </si>
  <si>
    <t>تعداد نفرات مورخ 1397/05/19</t>
  </si>
  <si>
    <t>تعداد نفرات مورخ 1397/05/20</t>
  </si>
  <si>
    <t>تعداد نفرات مورخ 1397/05/21</t>
  </si>
  <si>
    <t>تعداد نفرات مورخ 1397/05/22</t>
  </si>
  <si>
    <t>تعداد نفرات مورخ 1397/05/23</t>
  </si>
  <si>
    <t>تعداد نفرات مورخ 1397/05/24</t>
  </si>
  <si>
    <t>تعداد نفرات مورخ 1397/05/25</t>
  </si>
  <si>
    <t>تعداد نفرات مورخ 1397/05/26</t>
  </si>
  <si>
    <t>تعداد نفرات مورخ 1397/05/27</t>
  </si>
  <si>
    <t>تعداد نفرات مورخ 1397/05/28</t>
  </si>
  <si>
    <t>تعداد نفرات مورخ 1397/05/29</t>
  </si>
  <si>
    <t>تعداد نفرات مورخ 1397/05/30</t>
  </si>
  <si>
    <t>کلاه ایمنی</t>
  </si>
  <si>
    <t>4</t>
  </si>
  <si>
    <t xml:space="preserve">احمد جامی </t>
  </si>
  <si>
    <t xml:space="preserve">اجرای کارهای ساختمانی </t>
  </si>
  <si>
    <t>218-15-02</t>
  </si>
  <si>
    <t>1398/03/14</t>
  </si>
  <si>
    <t>12 ماه</t>
  </si>
  <si>
    <t>فهرست بهاء منضم به قرارداد شماره 218/15/02</t>
  </si>
  <si>
    <t>شرح عملیات</t>
  </si>
  <si>
    <t>مقادیر</t>
  </si>
  <si>
    <t>قیمت</t>
  </si>
  <si>
    <r>
      <t>بهای واحد/</t>
    </r>
    <r>
      <rPr>
        <sz val="14"/>
        <color rgb="FFFF0000"/>
        <rFont val="B Nazanin"/>
        <charset val="178"/>
      </rPr>
      <t>ريال</t>
    </r>
  </si>
  <si>
    <t>بهای کل/ریال</t>
  </si>
  <si>
    <t>سوراخ کاری و نصب رول بولت و پلیت</t>
  </si>
  <si>
    <t>ساخت و نصب وال پست</t>
  </si>
  <si>
    <t>کیلوگرم</t>
  </si>
  <si>
    <t>ساخت و نصب ساب فریم</t>
  </si>
  <si>
    <t>آهن کشی پیرامون ویترین ها</t>
  </si>
  <si>
    <t>اجرای ضد زنگ روی کارهای فلزی تحویل شده</t>
  </si>
  <si>
    <t>ساخت و نصب میلگرد آنکراژ (عصایی)</t>
  </si>
  <si>
    <t>پیش بینی دستمزد روزانه استاد کار</t>
  </si>
  <si>
    <t>نفر/روز</t>
  </si>
  <si>
    <t>پیش بینی دستمزد روزانه کارگر ماهر</t>
  </si>
  <si>
    <t>پیش بینی دستمزد روزانه کارگر ساده</t>
  </si>
  <si>
    <t>جمع کل به عدد (ریال) :</t>
  </si>
  <si>
    <t>جمع کل به حروف( ریال ) :</t>
  </si>
  <si>
    <t xml:space="preserve">شرایط و توضیحات: </t>
  </si>
  <si>
    <t>احجام ذکر شده در جدول فوق حدودی بوده و  ملاک پرداخت و رسیدگی به صورت وضعیت ها  بهای واحد براساس مقدار کارانجام شده است .</t>
  </si>
  <si>
    <t>احجام جدول فوق در قالب تبصره شماره 2 قرارداد قابل افزایش یا کاهش است .</t>
  </si>
  <si>
    <t>قیمت کاشت انکرها شامل سواخکاری و کاشت  انکر در بتن است بهای پلیت از ردیف وزن ساخت و نصب وادار پرداخت خواهد شد  .</t>
  </si>
  <si>
    <t>وزن واحد مقاطع فلزی قابل پرداخت در صورت وضعیت پیمانکار، براساس کمترین مقدار  اشتال یا توزین در محل کارگاه  است.</t>
  </si>
  <si>
    <t>مبلغ اجرای ضد زنگ روی کارهای تحویل شده به ازاء هر کیلوگرم کارهای فلزی می باشد.</t>
  </si>
  <si>
    <r>
      <t xml:space="preserve"> </t>
    </r>
    <r>
      <rPr>
        <b/>
        <sz val="18"/>
        <color theme="1"/>
        <rFont val="B Nazanin"/>
        <charset val="178"/>
      </rPr>
      <t xml:space="preserve"> کارفرما (شرکت ژالکه)                                                                                                                    پیمانکار</t>
    </r>
  </si>
  <si>
    <t>Box-70*70*2.5-SQ2</t>
  </si>
  <si>
    <t>حدفاصل18تا20aوA تا B</t>
  </si>
  <si>
    <t>Box-70*70*2.5-SQ3</t>
  </si>
  <si>
    <t>Box-70*70*2.5-SQ1</t>
  </si>
  <si>
    <t>4-4</t>
  </si>
  <si>
    <t>حدفاصل18تا20aوD1 تا F</t>
  </si>
  <si>
    <t>4-5</t>
  </si>
  <si>
    <t>حدفاصل18تا20aوG تا I</t>
  </si>
  <si>
    <t>4-6</t>
  </si>
  <si>
    <t>4-7</t>
  </si>
  <si>
    <t>حدفاصل21a تا 22 F2 تا G</t>
  </si>
  <si>
    <t>4-8</t>
  </si>
  <si>
    <t>حدفاصل18تا20aوI تا L</t>
  </si>
  <si>
    <t>4-9</t>
  </si>
  <si>
    <t>4-10</t>
  </si>
  <si>
    <t>4-11</t>
  </si>
  <si>
    <t>حدفاصل21 و IتاJ</t>
  </si>
  <si>
    <t>4-12</t>
  </si>
  <si>
    <t>ورق اتصال وال پست عمودی به کف و سقف</t>
  </si>
  <si>
    <t>نبشی نمره 5 اتصال وال پست عمودی به کف و سقف</t>
  </si>
  <si>
    <t>نبشی نمره 5 زیرسری اتصال تیر به وال پست عمودی</t>
  </si>
  <si>
    <t>نبشی نمره 5 بالاسری اتصال تیر به وال پست عمودی</t>
  </si>
  <si>
    <t>میل گرد آنکراژ Ø12 جهت اتصال وال پست عمودی و دیوار</t>
  </si>
  <si>
    <t>ورق نصب شده بر روی ستون های بتنی کناری جهت نصب وال پست افقی</t>
  </si>
  <si>
    <t>حدفاصل18تا20aوK</t>
  </si>
  <si>
    <t>نبشی نمره 5 بالاسری اتصال وال پست افقی به ورق های نصب شده روی ستون های بتنی کناری</t>
  </si>
  <si>
    <t>حدفاصل18تا20aوA تا K</t>
  </si>
  <si>
    <t>نبشی نمره 5 زیرسری اتصال وال پست افقی به ورق های نصب شده روی ستون های بتنی کناری</t>
  </si>
  <si>
    <t>Box-60*40*2.5</t>
  </si>
  <si>
    <t>حدفاصل18تا20aو I تا L</t>
  </si>
  <si>
    <r>
      <rPr>
        <sz val="10"/>
        <color theme="1"/>
        <rFont val="Calibri"/>
        <family val="2"/>
      </rPr>
      <t>±</t>
    </r>
    <r>
      <rPr>
        <sz val="10"/>
        <color theme="1"/>
        <rFont val="B Nazanin"/>
        <charset val="178"/>
      </rPr>
      <t>0.00</t>
    </r>
  </si>
  <si>
    <t>2-4</t>
  </si>
  <si>
    <t>2-5</t>
  </si>
  <si>
    <t>2-6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</si>
  <si>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</si>
  <si>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</si>
  <si>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</si>
  <si>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</si>
  <si>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</si>
  <si>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</si>
  <si>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</si>
  <si>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</si>
  <si>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</si>
  <si>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</si>
  <si>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</si>
  <si>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</si>
  <si>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</si>
  <si>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</si>
  <si>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</si>
  <si>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</si>
  <si>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</si>
  <si>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</si>
  <si>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2-27</t>
  </si>
  <si>
    <t>Box 40*20*2 اتصال به وال پست عمودی</t>
  </si>
  <si>
    <t>حدفاصل18تا21وB</t>
  </si>
  <si>
    <t>ورق اتصال به سقف 8*150*150</t>
  </si>
  <si>
    <t>ورق اتصال به ستون بتنی</t>
  </si>
  <si>
    <t>میل گرد نمره 12 عرضی</t>
  </si>
  <si>
    <t>میل گرد نمره 12 طولی</t>
  </si>
  <si>
    <t>Box 40*40*2 سرتاسری اتصال یه سقف</t>
  </si>
  <si>
    <t>Box 40*40*2 آویز - ارتفاع تا زیر دال بتنی</t>
  </si>
  <si>
    <t>Box 40*40*2 آویز - ارتفاع تا زیر تیر فرعی</t>
  </si>
  <si>
    <t>Box 40*40*2 آویز - ارتفاع تا زیر تیر اصلی</t>
  </si>
  <si>
    <t>نبشی نمره 5 جهت اتصال آویز به قوطی زیر سقفی</t>
  </si>
  <si>
    <t>Box 60*40*2.5 سرتاسری اتصال به ویترین</t>
  </si>
  <si>
    <t>Box 40*40*2 سرتاسری</t>
  </si>
  <si>
    <t>Box 40*40*2 محل تابلو واحد تجاری</t>
  </si>
  <si>
    <t>نبشی نمره 5 جهت اتصال به محل تابلو</t>
  </si>
  <si>
    <t>Box 40*40*2 اتصال به ستون بتنی</t>
  </si>
  <si>
    <t>Box 40*40*2 دستک جهت اتصال به ستون بتنی</t>
  </si>
  <si>
    <t>Box 40*40*2 اتصال یه سقف</t>
  </si>
  <si>
    <t>2-28</t>
  </si>
  <si>
    <t>3-50</t>
  </si>
  <si>
    <t>6-1</t>
  </si>
  <si>
    <t>6-2</t>
  </si>
  <si>
    <t>Box-60*40*2.5 - تیر</t>
  </si>
  <si>
    <t>Box-60*40*2.5 -ستون</t>
  </si>
  <si>
    <t>Box-60*40*2.5 - ستون</t>
  </si>
  <si>
    <t>ورق اتصال به کف و تیر</t>
  </si>
  <si>
    <t>نبشی نمره 5 زیرسری قوطی طولی</t>
  </si>
  <si>
    <t>اجرای سازه شاسی پلکان</t>
  </si>
  <si>
    <t xml:space="preserve">میلگرد نمره 12 </t>
  </si>
  <si>
    <t>کارگاه پروژه خلیج فارس - یزد</t>
  </si>
  <si>
    <t>--</t>
  </si>
  <si>
    <t>ایوب بابایی</t>
  </si>
  <si>
    <t>امیر کرمی</t>
  </si>
  <si>
    <t>جلیل غفوری</t>
  </si>
  <si>
    <t>سعید کریم پور خامنه</t>
  </si>
  <si>
    <t>اکبر پیری</t>
  </si>
  <si>
    <t>هزینه بیمه تأمین اجتماعی (مربوط به خردادماه 98)</t>
  </si>
  <si>
    <t>بیمه مسئولیت مدنی (98/4/6الی98/6/6)</t>
  </si>
  <si>
    <t>4-3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</si>
  <si>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</si>
  <si>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</si>
  <si>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</si>
  <si>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</si>
  <si>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</si>
  <si>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</si>
  <si>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</si>
  <si>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</si>
  <si>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</si>
  <si>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</si>
  <si>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</si>
  <si>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</si>
  <si>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</si>
  <si>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4-26</t>
  </si>
  <si>
    <t>4-27</t>
  </si>
  <si>
    <t>4-28</t>
  </si>
  <si>
    <t>4-29</t>
  </si>
  <si>
    <t>4-30</t>
  </si>
  <si>
    <t>4-31</t>
  </si>
  <si>
    <t>4-32</t>
  </si>
  <si>
    <t>4-33</t>
  </si>
  <si>
    <t>4-34</t>
  </si>
  <si>
    <t>4-35</t>
  </si>
  <si>
    <t>B</t>
  </si>
  <si>
    <t>وال پست عمودی</t>
  </si>
  <si>
    <t>Box-70*70*2.5-SQ4</t>
  </si>
  <si>
    <t>وال پست پیرامون جعبه آتشنشانی</t>
  </si>
  <si>
    <t>قوطی عمودی SF1</t>
  </si>
  <si>
    <t>قوطی عمودی SF3</t>
  </si>
  <si>
    <t>وال پست افقی</t>
  </si>
  <si>
    <t>Box-60*40*2.5 جعبه آتشنشانی</t>
  </si>
  <si>
    <t>نبشی نمره 5  اتصال وال پست افقی به ورق های نصب شده روی ستون های بتنی کناری</t>
  </si>
  <si>
    <t>C</t>
  </si>
  <si>
    <t>4~7-F</t>
  </si>
  <si>
    <t>وزن واحد</t>
  </si>
  <si>
    <t>Box 40*40*2-افقی</t>
  </si>
  <si>
    <t>5~4-B2~F</t>
  </si>
  <si>
    <t>7~4-B2</t>
  </si>
  <si>
    <t>7~9-B2</t>
  </si>
  <si>
    <t>جریمه (تأخیرات، عدم بالانس متریال، HSE و خسارت سرامیک کف...)</t>
  </si>
  <si>
    <t>کفش ایمنی</t>
  </si>
  <si>
    <t>دستکش جوشکاری</t>
  </si>
  <si>
    <t>دستکش ضد برش</t>
  </si>
  <si>
    <t>جفت</t>
  </si>
  <si>
    <t>ردیف فهرست بها</t>
  </si>
  <si>
    <t>2-7</t>
  </si>
  <si>
    <t>2-26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</si>
  <si>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</si>
  <si>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</si>
  <si>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</si>
  <si>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</si>
  <si>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</si>
  <si>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</si>
  <si>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</si>
  <si>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</si>
  <si>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</si>
  <si>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</si>
  <si>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</si>
  <si>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</si>
  <si>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2-41</t>
  </si>
  <si>
    <t>2-42</t>
  </si>
  <si>
    <t>2-43</t>
  </si>
  <si>
    <t>2-44</t>
  </si>
  <si>
    <t>2-45</t>
  </si>
  <si>
    <t>2-46</t>
  </si>
  <si>
    <t>2-47</t>
  </si>
  <si>
    <t>2-48</t>
  </si>
  <si>
    <t>2-49</t>
  </si>
  <si>
    <t>2-50</t>
  </si>
  <si>
    <t>2-51</t>
  </si>
  <si>
    <t>2-52</t>
  </si>
  <si>
    <t>2-53</t>
  </si>
  <si>
    <t>2-54</t>
  </si>
  <si>
    <t>2-55</t>
  </si>
  <si>
    <t>2-56</t>
  </si>
  <si>
    <t>2-57</t>
  </si>
  <si>
    <t>2-58</t>
  </si>
  <si>
    <t>2-59</t>
  </si>
  <si>
    <t>4-36</t>
  </si>
  <si>
    <t>4-37</t>
  </si>
  <si>
    <t>4-38</t>
  </si>
  <si>
    <t>4-39</t>
  </si>
  <si>
    <t>4-40</t>
  </si>
  <si>
    <t>4-41</t>
  </si>
  <si>
    <t>4-42</t>
  </si>
  <si>
    <t>4-43</t>
  </si>
  <si>
    <t>4-44</t>
  </si>
  <si>
    <t>4-45</t>
  </si>
  <si>
    <t>4-46</t>
  </si>
  <si>
    <t>4-47</t>
  </si>
  <si>
    <t>4-48</t>
  </si>
  <si>
    <t>4-50</t>
  </si>
  <si>
    <t>4-51</t>
  </si>
  <si>
    <t>4-52</t>
  </si>
  <si>
    <t>4-53</t>
  </si>
  <si>
    <t>4-54</t>
  </si>
  <si>
    <t>4-55</t>
  </si>
  <si>
    <t>4-56</t>
  </si>
  <si>
    <t>5-2</t>
  </si>
  <si>
    <t>کمپ کارگری</t>
  </si>
  <si>
    <t>تبصره 9</t>
  </si>
  <si>
    <t xml:space="preserve"> اصلاح وال پست</t>
  </si>
  <si>
    <t>برش و اصلاح سقف کمپ کارگری</t>
  </si>
  <si>
    <t>+6.7</t>
  </si>
  <si>
    <t>اصلاحی</t>
  </si>
  <si>
    <t>1398/04/26</t>
  </si>
  <si>
    <t>15~18~A-B</t>
  </si>
  <si>
    <t>نوع مصالح دریافتی</t>
  </si>
  <si>
    <t>مقدار تحویلی</t>
  </si>
  <si>
    <t>مقدار پای کار</t>
  </si>
  <si>
    <t>پلیت 8*20*20</t>
  </si>
  <si>
    <t>پلیت 8*150*150</t>
  </si>
  <si>
    <t>پلیت 8*150*300</t>
  </si>
  <si>
    <t>رول بولت M12*120</t>
  </si>
  <si>
    <t>قوطی 40*60</t>
  </si>
  <si>
    <t>شاخه 6 متری</t>
  </si>
  <si>
    <t>قوطی 40*40</t>
  </si>
  <si>
    <t>قوطی 20*40</t>
  </si>
  <si>
    <t>مقدار کارکرد صورت وضعیت</t>
  </si>
  <si>
    <t>مقدار کارکرد بعد از صورت وضعیت</t>
  </si>
  <si>
    <t>بالانس مصالح پیمانکار - جامی</t>
  </si>
  <si>
    <t>پیمانکار:</t>
  </si>
  <si>
    <t>تایید کننده</t>
  </si>
  <si>
    <t>مقدار کسری</t>
  </si>
  <si>
    <t>تاریخ</t>
  </si>
  <si>
    <t>شماره صورت وضعیت:</t>
  </si>
  <si>
    <t>تعداد 13 عدد رول بولت کسری مقرر گردید توسط پیمانکار تهیه گردد.</t>
  </si>
  <si>
    <t xml:space="preserve"> داربست به صورت چهارپایه متحرک(چرخدار) و ثابت به همراه لوله و اجرت نصب</t>
  </si>
  <si>
    <t>همکف</t>
  </si>
  <si>
    <t>98/03/26</t>
  </si>
  <si>
    <t>98/03/28</t>
  </si>
  <si>
    <t>98/03/30</t>
  </si>
  <si>
    <t>98/04/05</t>
  </si>
  <si>
    <t>98/04/13</t>
  </si>
  <si>
    <t>98/04/15</t>
  </si>
  <si>
    <t>طبقه اول</t>
  </si>
  <si>
    <t>98/04/25</t>
  </si>
  <si>
    <t>98/04/26</t>
  </si>
  <si>
    <t>98/04/27</t>
  </si>
  <si>
    <t>بستن داربست به صورت اجرتی ثابت زیر صدمتر / کفراژ و نمایی</t>
  </si>
  <si>
    <t>98/04/02</t>
  </si>
  <si>
    <t>98/04/03</t>
  </si>
  <si>
    <t>98/04/24</t>
  </si>
  <si>
    <t>بستن داربست به صورت اجرتی چهارپایه متحرک (چرخدار) و ثابت</t>
  </si>
  <si>
    <t>98/04/19</t>
  </si>
  <si>
    <t>طبقه سوم</t>
  </si>
  <si>
    <t>باز کردن داربست به صورت اجرتی ثابت زیر صد متر /کفراژ نمایی</t>
  </si>
  <si>
    <t>98/03/04</t>
  </si>
  <si>
    <t>محوطه</t>
  </si>
  <si>
    <t>3-1</t>
  </si>
  <si>
    <t>3-2</t>
  </si>
  <si>
    <t>3-3</t>
  </si>
  <si>
    <t>3-4</t>
  </si>
  <si>
    <t>3-5</t>
  </si>
  <si>
    <t>3-6</t>
  </si>
  <si>
    <t>3-7</t>
  </si>
  <si>
    <t>داربست به صورت چاله آسانسور توافقی</t>
  </si>
  <si>
    <t>کلیه طبقات</t>
  </si>
  <si>
    <t>داربست به صورت نمایی و کفراژ زیر 100 متر</t>
  </si>
  <si>
    <t>مقطوع</t>
  </si>
  <si>
    <t xml:space="preserve">محمدعلی اقبالی </t>
  </si>
  <si>
    <t>1398/05/19</t>
  </si>
  <si>
    <t xml:space="preserve">چهارپایه چرخدار </t>
  </si>
  <si>
    <t>3+1</t>
  </si>
  <si>
    <t>3+2</t>
  </si>
  <si>
    <t>98/04/28</t>
  </si>
  <si>
    <t>98/05/05</t>
  </si>
  <si>
    <t>98/05/13</t>
  </si>
  <si>
    <t>3+3</t>
  </si>
  <si>
    <t>98/05/15</t>
  </si>
  <si>
    <t>98/05/015</t>
  </si>
  <si>
    <t>98/05/25</t>
  </si>
  <si>
    <t>2.5+3</t>
  </si>
  <si>
    <t>98/05/26</t>
  </si>
  <si>
    <t>2.5+1.7</t>
  </si>
  <si>
    <t>98/05/27</t>
  </si>
  <si>
    <t>نمایی</t>
  </si>
  <si>
    <t>کفراژ</t>
  </si>
  <si>
    <t>3-8</t>
  </si>
  <si>
    <t>نرده کشی</t>
  </si>
  <si>
    <t>98/04/29</t>
  </si>
  <si>
    <t>چاله آسانسور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</si>
</sst>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_-* #,##0.00\-;_-* &quot;-&quot;??_-;_-@_-"/>
    <numFmt numFmtId="164" formatCode="_(* #,##0.00_);_(* \(#,##0.00\);_(* &quot;-&quot;??_);_(@_)"/>
    <numFmt numFmtId="165" formatCode="#,##0.000"/>
    <numFmt numFmtId="166" formatCode="&quot;$&quot;#,##0.00"/>
    <numFmt numFmtId="167" formatCode="_-* #,##0_-;_-* #,##0\-;_-* &quot;-&quot;??_-;_-@_-"/>
    <numFmt numFmtId="168" formatCode="#,##0_-"/>
    <numFmt numFmtId="169" formatCode="_(* #,##0_);_(* \(#,##0\);_(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2"/>
      <color theme="1"/>
      <name val="B Nazanin"/>
      <charset val="178"/>
    </font>
    <font>
      <sz val="14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sz val="14"/>
      <color theme="1"/>
      <name val="Calibri"/>
      <family val="2"/>
      <scheme val="minor"/>
    </font>
    <font>
      <b/>
      <sz val="11"/>
      <name val="B Nazanin"/>
      <charset val="178"/>
    </font>
    <font>
      <sz val="11"/>
      <color theme="1"/>
      <name val="Wingdings 2"/>
      <family val="1"/>
      <charset val="2"/>
    </font>
    <font>
      <sz val="7"/>
      <color theme="1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10"/>
      <name val="B Nazanin"/>
      <charset val="178"/>
    </font>
    <font>
      <sz val="12"/>
      <color theme="1"/>
      <name val="B Nazanin"/>
      <charset val="178"/>
    </font>
    <font>
      <b/>
      <sz val="14"/>
      <color theme="1"/>
      <name val="B Nazanin"/>
      <charset val="178"/>
    </font>
    <font>
      <sz val="10"/>
      <color theme="1"/>
      <name val="Garamond"/>
      <family val="1"/>
    </font>
    <font>
      <b/>
      <sz val="18"/>
      <color theme="1"/>
      <name val="B Nazanin"/>
      <charset val="178"/>
    </font>
    <font>
      <b/>
      <sz val="18"/>
      <color rgb="FFFF0000"/>
      <name val="B Nazanin"/>
      <charset val="178"/>
    </font>
    <font>
      <b/>
      <sz val="18"/>
      <color rgb="FF7030A0"/>
      <name val="B Nazanin"/>
      <charset val="178"/>
    </font>
    <font>
      <b/>
      <sz val="14"/>
      <color rgb="FFFF0000"/>
      <name val="B Nazanin"/>
      <charset val="178"/>
    </font>
    <font>
      <sz val="14"/>
      <color rgb="FFFF0000"/>
      <name val="B Nazanin"/>
      <charset val="178"/>
    </font>
    <font>
      <b/>
      <sz val="15"/>
      <color theme="1"/>
      <name val="B Nazanin"/>
      <charset val="178"/>
    </font>
    <font>
      <sz val="16"/>
      <color theme="1"/>
      <name val="B Nazanin"/>
      <charset val="178"/>
    </font>
    <font>
      <b/>
      <sz val="13"/>
      <color theme="1"/>
      <name val="B Nazanin"/>
      <charset val="178"/>
    </font>
    <font>
      <b/>
      <sz val="14"/>
      <color rgb="FF7030A0"/>
      <name val="B Nazanin"/>
      <charset val="178"/>
    </font>
    <font>
      <b/>
      <sz val="18"/>
      <name val="B Nazanin"/>
      <charset val="178"/>
    </font>
    <font>
      <b/>
      <sz val="16"/>
      <color theme="1"/>
      <name val="B Nazanin"/>
      <charset val="178"/>
    </font>
    <font>
      <sz val="20"/>
      <color theme="1"/>
      <name val="B Nazanin"/>
      <charset val="178"/>
    </font>
    <font>
      <b/>
      <u/>
      <sz val="18"/>
      <color theme="1"/>
      <name val="B Nazanin"/>
      <charset val="178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4"/>
      <color theme="1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gray0625">
        <fgColor theme="0" tint="-0.499984740745262"/>
        <bgColor auto="1"/>
      </patternFill>
    </fill>
    <fill>
      <patternFill patternType="gray125"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0">
    <xf numFmtId="0" fontId="0" fillId="0" borderId="0" xfId="0"/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5" fillId="0" borderId="0" xfId="0" applyFont="1"/>
    <xf numFmtId="0" fontId="9" fillId="0" borderId="0" xfId="0" applyFont="1"/>
    <xf numFmtId="0" fontId="9" fillId="0" borderId="4" xfId="0" applyFont="1" applyBorder="1"/>
    <xf numFmtId="0" fontId="9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9" fillId="0" borderId="9" xfId="0" applyFont="1" applyBorder="1"/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1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4" fontId="1" fillId="0" borderId="0" xfId="0" applyNumberFormat="1" applyFont="1"/>
    <xf numFmtId="4" fontId="5" fillId="0" borderId="0" xfId="0" applyNumberFormat="1" applyFont="1"/>
    <xf numFmtId="4" fontId="1" fillId="0" borderId="3" xfId="0" applyNumberFormat="1" applyFont="1" applyBorder="1"/>
    <xf numFmtId="4" fontId="1" fillId="0" borderId="0" xfId="0" applyNumberFormat="1" applyFont="1" applyBorder="1"/>
    <xf numFmtId="4" fontId="0" fillId="0" borderId="0" xfId="0" applyNumberFormat="1"/>
    <xf numFmtId="165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1" fontId="0" fillId="0" borderId="0" xfId="0" applyNumberFormat="1"/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0" xfId="2" applyFont="1"/>
    <xf numFmtId="0" fontId="13" fillId="4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6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" fillId="0" borderId="16" xfId="0" applyFont="1" applyBorder="1"/>
    <xf numFmtId="0" fontId="5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/>
    <xf numFmtId="0" fontId="1" fillId="0" borderId="0" xfId="0" applyNumberFormat="1" applyFont="1"/>
    <xf numFmtId="0" fontId="5" fillId="0" borderId="0" xfId="0" applyFont="1" applyBorder="1"/>
    <xf numFmtId="0" fontId="5" fillId="0" borderId="0" xfId="0" applyNumberFormat="1" applyFont="1"/>
    <xf numFmtId="0" fontId="1" fillId="0" borderId="6" xfId="0" applyFont="1" applyBorder="1"/>
    <xf numFmtId="0" fontId="1" fillId="0" borderId="3" xfId="0" applyNumberFormat="1" applyFont="1" applyBorder="1"/>
    <xf numFmtId="0" fontId="0" fillId="0" borderId="0" xfId="0" applyNumberFormat="1" applyBorder="1"/>
    <xf numFmtId="0" fontId="1" fillId="0" borderId="0" xfId="0" applyNumberFormat="1" applyFont="1" applyBorder="1"/>
    <xf numFmtId="4" fontId="0" fillId="0" borderId="0" xfId="0" applyNumberFormat="1" applyBorder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NumberFormat="1" applyBorder="1"/>
    <xf numFmtId="0" fontId="0" fillId="0" borderId="9" xfId="0" applyBorder="1"/>
    <xf numFmtId="0" fontId="0" fillId="0" borderId="0" xfId="0" applyNumberFormat="1"/>
    <xf numFmtId="49" fontId="18" fillId="0" borderId="1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167" fontId="19" fillId="5" borderId="1" xfId="4" applyNumberFormat="1" applyFont="1" applyFill="1" applyBorder="1" applyAlignment="1">
      <alignment horizontal="center" vertical="center"/>
    </xf>
    <xf numFmtId="167" fontId="21" fillId="5" borderId="25" xfId="4" applyNumberFormat="1" applyFont="1" applyFill="1" applyBorder="1" applyAlignment="1">
      <alignment horizontal="center" vertical="center"/>
    </xf>
    <xf numFmtId="167" fontId="22" fillId="5" borderId="10" xfId="4" applyNumberFormat="1" applyFont="1" applyFill="1" applyBorder="1" applyAlignment="1">
      <alignment horizontal="center" vertical="center"/>
    </xf>
    <xf numFmtId="167" fontId="22" fillId="5" borderId="26" xfId="4" applyNumberFormat="1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167" fontId="25" fillId="0" borderId="3" xfId="1" applyNumberFormat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167" fontId="25" fillId="0" borderId="0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16" fillId="0" borderId="43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" fillId="0" borderId="14" xfId="0" quotePrefix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4" fillId="0" borderId="1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34" fillId="0" borderId="0" xfId="0" applyNumberFormat="1" applyFont="1" applyFill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/>
    </xf>
    <xf numFmtId="38" fontId="0" fillId="0" borderId="0" xfId="0" applyNumberFormat="1"/>
    <xf numFmtId="0" fontId="3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38" fontId="36" fillId="0" borderId="3" xfId="0" applyNumberFormat="1" applyFont="1" applyBorder="1" applyAlignment="1">
      <alignment horizontal="center" vertical="center"/>
    </xf>
    <xf numFmtId="0" fontId="0" fillId="0" borderId="3" xfId="0" applyBorder="1"/>
    <xf numFmtId="169" fontId="0" fillId="0" borderId="0" xfId="2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38" fontId="35" fillId="0" borderId="46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38" fontId="35" fillId="0" borderId="47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38" fontId="35" fillId="0" borderId="48" xfId="0" applyNumberFormat="1" applyFont="1" applyBorder="1" applyAlignment="1">
      <alignment horizontal="center" vertical="center"/>
    </xf>
    <xf numFmtId="0" fontId="4" fillId="0" borderId="0" xfId="0" applyFont="1" applyBorder="1"/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3" fontId="35" fillId="0" borderId="50" xfId="0" applyNumberFormat="1" applyFont="1" applyBorder="1" applyAlignment="1">
      <alignment horizontal="center" vertical="center"/>
    </xf>
    <xf numFmtId="3" fontId="35" fillId="0" borderId="50" xfId="0" applyNumberFormat="1" applyFont="1" applyBorder="1" applyAlignment="1">
      <alignment horizontal="center" vertical="center" wrapText="1"/>
    </xf>
    <xf numFmtId="3" fontId="35" fillId="0" borderId="51" xfId="0" applyNumberFormat="1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38" fontId="35" fillId="0" borderId="53" xfId="0" applyNumberFormat="1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38" fontId="35" fillId="0" borderId="55" xfId="0" applyNumberFormat="1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38" fontId="35" fillId="0" borderId="57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3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4" fontId="7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right" vertical="center" wrapText="1"/>
    </xf>
    <xf numFmtId="0" fontId="34" fillId="0" borderId="10" xfId="0" applyFont="1" applyFill="1" applyBorder="1" applyAlignment="1">
      <alignment horizontal="right" vertical="center" wrapText="1"/>
    </xf>
    <xf numFmtId="0" fontId="34" fillId="0" borderId="11" xfId="0" applyFont="1" applyFill="1" applyBorder="1" applyAlignment="1">
      <alignment horizontal="right" vertical="center" wrapText="1"/>
    </xf>
    <xf numFmtId="0" fontId="34" fillId="0" borderId="10" xfId="0" applyFont="1" applyFill="1" applyBorder="1" applyAlignment="1">
      <alignment horizontal="right" vertical="center"/>
    </xf>
    <xf numFmtId="0" fontId="34" fillId="0" borderId="12" xfId="0" applyFont="1" applyFill="1" applyBorder="1" applyAlignment="1">
      <alignment horizontal="right" vertical="center"/>
    </xf>
    <xf numFmtId="0" fontId="34" fillId="0" borderId="1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top" wrapText="1"/>
    </xf>
    <xf numFmtId="0" fontId="2" fillId="3" borderId="1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3" fontId="17" fillId="3" borderId="15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3" fontId="1" fillId="0" borderId="59" xfId="0" quotePrefix="1" applyNumberFormat="1" applyFont="1" applyBorder="1" applyAlignment="1">
      <alignment horizontal="center" vertical="center"/>
    </xf>
    <xf numFmtId="3" fontId="1" fillId="0" borderId="34" xfId="0" quotePrefix="1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3" fontId="1" fillId="0" borderId="58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3" fontId="1" fillId="0" borderId="14" xfId="0" quotePrefix="1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right" vertical="center"/>
    </xf>
    <xf numFmtId="0" fontId="34" fillId="0" borderId="12" xfId="0" applyFont="1" applyFill="1" applyBorder="1" applyAlignment="1">
      <alignment horizontal="right" vertical="center"/>
    </xf>
    <xf numFmtId="0" fontId="34" fillId="0" borderId="11" xfId="0" applyFont="1" applyFill="1" applyBorder="1" applyAlignment="1">
      <alignment horizontal="right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right" vertical="center" wrapText="1"/>
    </xf>
    <xf numFmtId="0" fontId="34" fillId="0" borderId="12" xfId="0" applyFont="1" applyFill="1" applyBorder="1" applyAlignment="1">
      <alignment horizontal="right" vertical="center" wrapText="1"/>
    </xf>
    <xf numFmtId="0" fontId="34" fillId="0" borderId="11" xfId="0" applyFont="1" applyFill="1" applyBorder="1" applyAlignment="1">
      <alignment horizontal="right" vertical="center" wrapText="1"/>
    </xf>
    <xf numFmtId="0" fontId="2" fillId="0" borderId="1" xfId="3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 wrapText="1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4" fontId="7" fillId="0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6" fillId="0" borderId="1" xfId="3" applyNumberFormat="1" applyFont="1" applyFill="1" applyBorder="1" applyAlignment="1">
      <alignment horizontal="center" vertical="center"/>
    </xf>
    <xf numFmtId="9" fontId="2" fillId="0" borderId="1" xfId="3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11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28" fillId="0" borderId="36" xfId="1" applyFont="1" applyFill="1" applyBorder="1" applyAlignment="1">
      <alignment horizontal="center" vertical="center"/>
    </xf>
    <xf numFmtId="0" fontId="28" fillId="0" borderId="37" xfId="1" applyFont="1" applyFill="1" applyBorder="1" applyAlignment="1">
      <alignment horizontal="center" vertical="center"/>
    </xf>
    <xf numFmtId="168" fontId="29" fillId="0" borderId="38" xfId="4" applyNumberFormat="1" applyFont="1" applyBorder="1" applyAlignment="1">
      <alignment horizontal="center" vertical="center"/>
    </xf>
    <xf numFmtId="168" fontId="29" fillId="0" borderId="39" xfId="4" applyNumberFormat="1" applyFont="1" applyBorder="1" applyAlignment="1">
      <alignment horizontal="center" vertical="center"/>
    </xf>
    <xf numFmtId="0" fontId="29" fillId="0" borderId="40" xfId="1" applyFont="1" applyBorder="1" applyAlignment="1">
      <alignment horizontal="left" vertical="center"/>
    </xf>
    <xf numFmtId="0" fontId="29" fillId="0" borderId="41" xfId="1" applyFont="1" applyBorder="1" applyAlignment="1">
      <alignment horizontal="left" vertical="center"/>
    </xf>
    <xf numFmtId="0" fontId="29" fillId="0" borderId="41" xfId="1" applyFont="1" applyBorder="1" applyAlignment="1">
      <alignment horizontal="right" vertical="center"/>
    </xf>
    <xf numFmtId="0" fontId="29" fillId="0" borderId="42" xfId="1" applyFont="1" applyBorder="1" applyAlignment="1">
      <alignment horizontal="right" vertical="center"/>
    </xf>
    <xf numFmtId="0" fontId="31" fillId="0" borderId="0" xfId="1" applyFont="1" applyBorder="1" applyAlignment="1">
      <alignment horizontal="right" vertical="center"/>
    </xf>
    <xf numFmtId="0" fontId="17" fillId="0" borderId="0" xfId="1" applyFont="1" applyBorder="1" applyAlignment="1">
      <alignment horizontal="right" vertical="center"/>
    </xf>
    <xf numFmtId="168" fontId="27" fillId="0" borderId="29" xfId="4" applyNumberFormat="1" applyFont="1" applyBorder="1" applyAlignment="1">
      <alignment horizontal="center" vertical="center"/>
    </xf>
    <xf numFmtId="168" fontId="27" fillId="0" borderId="33" xfId="4" applyNumberFormat="1" applyFont="1" applyBorder="1" applyAlignment="1">
      <alignment horizontal="center" vertical="center"/>
    </xf>
    <xf numFmtId="0" fontId="17" fillId="6" borderId="27" xfId="1" applyFont="1" applyFill="1" applyBorder="1" applyAlignment="1">
      <alignment horizontal="center" vertical="center"/>
    </xf>
    <xf numFmtId="0" fontId="17" fillId="6" borderId="30" xfId="1" applyFont="1" applyFill="1" applyBorder="1" applyAlignment="1">
      <alignment horizontal="center" vertical="center"/>
    </xf>
    <xf numFmtId="0" fontId="24" fillId="6" borderId="14" xfId="1" applyFont="1" applyFill="1" applyBorder="1" applyAlignment="1">
      <alignment horizontal="center" vertical="center" wrapText="1"/>
    </xf>
    <xf numFmtId="0" fontId="24" fillId="6" borderId="31" xfId="1" applyFont="1" applyFill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/>
    </xf>
    <xf numFmtId="0" fontId="25" fillId="0" borderId="31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6" fillId="0" borderId="31" xfId="1" applyFont="1" applyBorder="1" applyAlignment="1">
      <alignment horizontal="center" vertical="center"/>
    </xf>
    <xf numFmtId="168" fontId="17" fillId="0" borderId="28" xfId="4" applyNumberFormat="1" applyFont="1" applyFill="1" applyBorder="1" applyAlignment="1">
      <alignment horizontal="center" vertical="center"/>
    </xf>
    <xf numFmtId="168" fontId="17" fillId="0" borderId="32" xfId="4" applyNumberFormat="1" applyFont="1" applyFill="1" applyBorder="1" applyAlignment="1">
      <alignment horizontal="center" vertical="center"/>
    </xf>
    <xf numFmtId="3" fontId="25" fillId="0" borderId="14" xfId="1" applyNumberFormat="1" applyFont="1" applyFill="1" applyBorder="1" applyAlignment="1">
      <alignment horizontal="center" vertical="center"/>
    </xf>
    <xf numFmtId="3" fontId="25" fillId="0" borderId="31" xfId="1" applyNumberFormat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17" fillId="7" borderId="34" xfId="1" applyFont="1" applyFill="1" applyBorder="1" applyAlignment="1">
      <alignment horizontal="center" vertical="center"/>
    </xf>
    <xf numFmtId="0" fontId="17" fillId="7" borderId="35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 readingOrder="2"/>
    </xf>
    <xf numFmtId="0" fontId="19" fillId="0" borderId="3" xfId="1" applyFont="1" applyFill="1" applyBorder="1" applyAlignment="1">
      <alignment horizontal="center" vertical="center" readingOrder="2"/>
    </xf>
    <xf numFmtId="0" fontId="19" fillId="0" borderId="4" xfId="1" applyFont="1" applyFill="1" applyBorder="1" applyAlignment="1">
      <alignment horizontal="center" vertical="center" readingOrder="2"/>
    </xf>
    <xf numFmtId="0" fontId="19" fillId="0" borderId="21" xfId="1" applyFont="1" applyFill="1" applyBorder="1" applyAlignment="1">
      <alignment horizontal="center" vertical="center"/>
    </xf>
    <xf numFmtId="0" fontId="19" fillId="0" borderId="22" xfId="1" applyFont="1" applyFill="1" applyBorder="1" applyAlignment="1">
      <alignment horizontal="center" vertical="center"/>
    </xf>
    <xf numFmtId="0" fontId="19" fillId="0" borderId="23" xfId="1" applyFont="1" applyFill="1" applyBorder="1" applyAlignment="1">
      <alignment horizontal="center" vertical="center"/>
    </xf>
    <xf numFmtId="0" fontId="20" fillId="5" borderId="24" xfId="1" applyFont="1" applyFill="1" applyBorder="1" applyAlignment="1">
      <alignment horizontal="center" vertical="center"/>
    </xf>
    <xf numFmtId="0" fontId="20" fillId="5" borderId="1" xfId="1" applyFont="1" applyFill="1" applyBorder="1" applyAlignment="1">
      <alignment horizontal="center" vertical="center"/>
    </xf>
    <xf numFmtId="0" fontId="20" fillId="5" borderId="25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right" vertical="center" wrapText="1" readingOrder="2"/>
    </xf>
    <xf numFmtId="0" fontId="1" fillId="0" borderId="12" xfId="0" applyFont="1" applyFill="1" applyBorder="1" applyAlignment="1">
      <alignment horizontal="right" vertical="center" wrapText="1" readingOrder="2"/>
    </xf>
    <xf numFmtId="0" fontId="1" fillId="0" borderId="11" xfId="0" applyFont="1" applyFill="1" applyBorder="1" applyAlignment="1">
      <alignment horizontal="right" vertical="center" wrapText="1" readingOrder="2"/>
    </xf>
    <xf numFmtId="0" fontId="3" fillId="0" borderId="10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6" fontId="1" fillId="0" borderId="5" xfId="0" applyNumberFormat="1" applyFont="1" applyBorder="1"/>
    <xf numFmtId="0" fontId="16" fillId="0" borderId="1" xfId="0" applyNumberFormat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3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">
    <cellStyle name="Comma" xfId="2" builtinId="3"/>
    <cellStyle name="Comma 2" xfId="4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975</xdr:colOff>
      <xdr:row>3</xdr:row>
      <xdr:rowOff>28575</xdr:rowOff>
    </xdr:from>
    <xdr:to>
      <xdr:col>16</xdr:col>
      <xdr:colOff>180975</xdr:colOff>
      <xdr:row>3</xdr:row>
      <xdr:rowOff>208575</xdr:rowOff>
    </xdr:to>
    <xdr:sp macro="" textlink="">
      <xdr:nvSpPr>
        <xdr:cNvPr id="3" name="Rectangle 2"/>
        <xdr:cNvSpPr/>
      </xdr:nvSpPr>
      <xdr:spPr>
        <a:xfrm>
          <a:off x="9976942200" y="666750"/>
          <a:ext cx="180000" cy="1800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oneCell">
    <xdr:from>
      <xdr:col>3</xdr:col>
      <xdr:colOff>179945</xdr:colOff>
      <xdr:row>2</xdr:row>
      <xdr:rowOff>9525</xdr:rowOff>
    </xdr:from>
    <xdr:to>
      <xdr:col>4</xdr:col>
      <xdr:colOff>1</xdr:colOff>
      <xdr:row>4</xdr:row>
      <xdr:rowOff>200025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175024" y="409575"/>
          <a:ext cx="79160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975</xdr:colOff>
      <xdr:row>4</xdr:row>
      <xdr:rowOff>28575</xdr:rowOff>
    </xdr:from>
    <xdr:to>
      <xdr:col>16</xdr:col>
      <xdr:colOff>180975</xdr:colOff>
      <xdr:row>4</xdr:row>
      <xdr:rowOff>208575</xdr:rowOff>
    </xdr:to>
    <xdr:sp macro="" textlink="">
      <xdr:nvSpPr>
        <xdr:cNvPr id="4" name="Rectangle 3"/>
        <xdr:cNvSpPr/>
      </xdr:nvSpPr>
      <xdr:spPr>
        <a:xfrm>
          <a:off x="9976942200" y="904875"/>
          <a:ext cx="180000" cy="1800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3</xdr:col>
      <xdr:colOff>766236</xdr:colOff>
      <xdr:row>41</xdr:row>
      <xdr:rowOff>77881</xdr:rowOff>
    </xdr:from>
    <xdr:to>
      <xdr:col>3</xdr:col>
      <xdr:colOff>921684</xdr:colOff>
      <xdr:row>41</xdr:row>
      <xdr:rowOff>233329</xdr:rowOff>
    </xdr:to>
    <xdr:sp macro="" textlink="">
      <xdr:nvSpPr>
        <xdr:cNvPr id="5" name="Rectangle 4"/>
        <xdr:cNvSpPr/>
      </xdr:nvSpPr>
      <xdr:spPr>
        <a:xfrm>
          <a:off x="11193497052" y="10734675"/>
          <a:ext cx="155448" cy="155448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424042</xdr:colOff>
      <xdr:row>41</xdr:row>
      <xdr:rowOff>111499</xdr:rowOff>
    </xdr:from>
    <xdr:to>
      <xdr:col>9</xdr:col>
      <xdr:colOff>86431</xdr:colOff>
      <xdr:row>41</xdr:row>
      <xdr:rowOff>266947</xdr:rowOff>
    </xdr:to>
    <xdr:sp macro="" textlink="">
      <xdr:nvSpPr>
        <xdr:cNvPr id="6" name="Rectangle 5"/>
        <xdr:cNvSpPr/>
      </xdr:nvSpPr>
      <xdr:spPr>
        <a:xfrm>
          <a:off x="11191340334" y="10768293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12</xdr:col>
      <xdr:colOff>85624</xdr:colOff>
      <xdr:row>41</xdr:row>
      <xdr:rowOff>108135</xdr:rowOff>
    </xdr:from>
    <xdr:to>
      <xdr:col>12</xdr:col>
      <xdr:colOff>241072</xdr:colOff>
      <xdr:row>41</xdr:row>
      <xdr:rowOff>263583</xdr:rowOff>
    </xdr:to>
    <xdr:sp macro="" textlink="">
      <xdr:nvSpPr>
        <xdr:cNvPr id="7" name="Rectangle 6"/>
        <xdr:cNvSpPr/>
      </xdr:nvSpPr>
      <xdr:spPr>
        <a:xfrm>
          <a:off x="11189616870" y="10764929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15</xdr:col>
      <xdr:colOff>249790</xdr:colOff>
      <xdr:row>41</xdr:row>
      <xdr:rowOff>101974</xdr:rowOff>
    </xdr:from>
    <xdr:to>
      <xdr:col>15</xdr:col>
      <xdr:colOff>405238</xdr:colOff>
      <xdr:row>41</xdr:row>
      <xdr:rowOff>257422</xdr:rowOff>
    </xdr:to>
    <xdr:sp macro="" textlink="">
      <xdr:nvSpPr>
        <xdr:cNvPr id="8" name="Rectangle 7"/>
        <xdr:cNvSpPr/>
      </xdr:nvSpPr>
      <xdr:spPr>
        <a:xfrm>
          <a:off x="11187771821" y="10758768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3</xdr:col>
      <xdr:colOff>766236</xdr:colOff>
      <xdr:row>42</xdr:row>
      <xdr:rowOff>58831</xdr:rowOff>
    </xdr:from>
    <xdr:to>
      <xdr:col>3</xdr:col>
      <xdr:colOff>921684</xdr:colOff>
      <xdr:row>42</xdr:row>
      <xdr:rowOff>214279</xdr:rowOff>
    </xdr:to>
    <xdr:sp macro="" textlink="">
      <xdr:nvSpPr>
        <xdr:cNvPr id="9" name="Rectangle 8"/>
        <xdr:cNvSpPr/>
      </xdr:nvSpPr>
      <xdr:spPr>
        <a:xfrm>
          <a:off x="11193497052" y="11018184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424042</xdr:colOff>
      <xdr:row>42</xdr:row>
      <xdr:rowOff>92449</xdr:rowOff>
    </xdr:from>
    <xdr:to>
      <xdr:col>9</xdr:col>
      <xdr:colOff>86431</xdr:colOff>
      <xdr:row>42</xdr:row>
      <xdr:rowOff>247897</xdr:rowOff>
    </xdr:to>
    <xdr:sp macro="" textlink="">
      <xdr:nvSpPr>
        <xdr:cNvPr id="10" name="Rectangle 9"/>
        <xdr:cNvSpPr/>
      </xdr:nvSpPr>
      <xdr:spPr>
        <a:xfrm>
          <a:off x="11191340334" y="11051802"/>
          <a:ext cx="155448" cy="155448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12</xdr:col>
      <xdr:colOff>85624</xdr:colOff>
      <xdr:row>42</xdr:row>
      <xdr:rowOff>89085</xdr:rowOff>
    </xdr:from>
    <xdr:to>
      <xdr:col>12</xdr:col>
      <xdr:colOff>241072</xdr:colOff>
      <xdr:row>42</xdr:row>
      <xdr:rowOff>244533</xdr:rowOff>
    </xdr:to>
    <xdr:sp macro="" textlink="">
      <xdr:nvSpPr>
        <xdr:cNvPr id="11" name="Rectangle 10"/>
        <xdr:cNvSpPr/>
      </xdr:nvSpPr>
      <xdr:spPr>
        <a:xfrm>
          <a:off x="11189616870" y="11048438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15</xdr:col>
      <xdr:colOff>249790</xdr:colOff>
      <xdr:row>42</xdr:row>
      <xdr:rowOff>82924</xdr:rowOff>
    </xdr:from>
    <xdr:to>
      <xdr:col>15</xdr:col>
      <xdr:colOff>405238</xdr:colOff>
      <xdr:row>42</xdr:row>
      <xdr:rowOff>238372</xdr:rowOff>
    </xdr:to>
    <xdr:sp macro="" textlink="">
      <xdr:nvSpPr>
        <xdr:cNvPr id="12" name="Rectangle 11"/>
        <xdr:cNvSpPr/>
      </xdr:nvSpPr>
      <xdr:spPr>
        <a:xfrm>
          <a:off x="11187771821" y="11042277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3</xdr:col>
      <xdr:colOff>766236</xdr:colOff>
      <xdr:row>43</xdr:row>
      <xdr:rowOff>58831</xdr:rowOff>
    </xdr:from>
    <xdr:to>
      <xdr:col>3</xdr:col>
      <xdr:colOff>921684</xdr:colOff>
      <xdr:row>43</xdr:row>
      <xdr:rowOff>214279</xdr:rowOff>
    </xdr:to>
    <xdr:sp macro="" textlink="">
      <xdr:nvSpPr>
        <xdr:cNvPr id="13" name="Rectangle 12"/>
        <xdr:cNvSpPr/>
      </xdr:nvSpPr>
      <xdr:spPr>
        <a:xfrm>
          <a:off x="11193497052" y="11309537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424042</xdr:colOff>
      <xdr:row>43</xdr:row>
      <xdr:rowOff>92449</xdr:rowOff>
    </xdr:from>
    <xdr:to>
      <xdr:col>9</xdr:col>
      <xdr:colOff>86431</xdr:colOff>
      <xdr:row>43</xdr:row>
      <xdr:rowOff>247897</xdr:rowOff>
    </xdr:to>
    <xdr:sp macro="" textlink="">
      <xdr:nvSpPr>
        <xdr:cNvPr id="14" name="Rectangle 13"/>
        <xdr:cNvSpPr/>
      </xdr:nvSpPr>
      <xdr:spPr>
        <a:xfrm>
          <a:off x="11191340334" y="11343155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12</xdr:col>
      <xdr:colOff>85624</xdr:colOff>
      <xdr:row>43</xdr:row>
      <xdr:rowOff>89085</xdr:rowOff>
    </xdr:from>
    <xdr:to>
      <xdr:col>12</xdr:col>
      <xdr:colOff>241072</xdr:colOff>
      <xdr:row>43</xdr:row>
      <xdr:rowOff>244533</xdr:rowOff>
    </xdr:to>
    <xdr:sp macro="" textlink="">
      <xdr:nvSpPr>
        <xdr:cNvPr id="15" name="Rectangle 14"/>
        <xdr:cNvSpPr/>
      </xdr:nvSpPr>
      <xdr:spPr>
        <a:xfrm>
          <a:off x="11189616870" y="11339791"/>
          <a:ext cx="155448" cy="155448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15</xdr:col>
      <xdr:colOff>249790</xdr:colOff>
      <xdr:row>43</xdr:row>
      <xdr:rowOff>82924</xdr:rowOff>
    </xdr:from>
    <xdr:to>
      <xdr:col>15</xdr:col>
      <xdr:colOff>405238</xdr:colOff>
      <xdr:row>43</xdr:row>
      <xdr:rowOff>238372</xdr:rowOff>
    </xdr:to>
    <xdr:sp macro="" textlink="">
      <xdr:nvSpPr>
        <xdr:cNvPr id="16" name="Rectangle 15"/>
        <xdr:cNvSpPr/>
      </xdr:nvSpPr>
      <xdr:spPr>
        <a:xfrm>
          <a:off x="11187771821" y="11333630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3</xdr:col>
      <xdr:colOff>766236</xdr:colOff>
      <xdr:row>44</xdr:row>
      <xdr:rowOff>58831</xdr:rowOff>
    </xdr:from>
    <xdr:to>
      <xdr:col>3</xdr:col>
      <xdr:colOff>921684</xdr:colOff>
      <xdr:row>44</xdr:row>
      <xdr:rowOff>214279</xdr:rowOff>
    </xdr:to>
    <xdr:sp macro="" textlink="">
      <xdr:nvSpPr>
        <xdr:cNvPr id="17" name="Rectangle 16"/>
        <xdr:cNvSpPr/>
      </xdr:nvSpPr>
      <xdr:spPr>
        <a:xfrm>
          <a:off x="11193497052" y="11600890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424042</xdr:colOff>
      <xdr:row>44</xdr:row>
      <xdr:rowOff>92449</xdr:rowOff>
    </xdr:from>
    <xdr:to>
      <xdr:col>9</xdr:col>
      <xdr:colOff>86431</xdr:colOff>
      <xdr:row>44</xdr:row>
      <xdr:rowOff>247897</xdr:rowOff>
    </xdr:to>
    <xdr:sp macro="" textlink="">
      <xdr:nvSpPr>
        <xdr:cNvPr id="18" name="Rectangle 17"/>
        <xdr:cNvSpPr/>
      </xdr:nvSpPr>
      <xdr:spPr>
        <a:xfrm>
          <a:off x="11191340334" y="11634508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12</xdr:col>
      <xdr:colOff>85624</xdr:colOff>
      <xdr:row>44</xdr:row>
      <xdr:rowOff>89085</xdr:rowOff>
    </xdr:from>
    <xdr:to>
      <xdr:col>12</xdr:col>
      <xdr:colOff>241072</xdr:colOff>
      <xdr:row>44</xdr:row>
      <xdr:rowOff>244533</xdr:rowOff>
    </xdr:to>
    <xdr:sp macro="" textlink="">
      <xdr:nvSpPr>
        <xdr:cNvPr id="19" name="Rectangle 18"/>
        <xdr:cNvSpPr/>
      </xdr:nvSpPr>
      <xdr:spPr>
        <a:xfrm>
          <a:off x="11189616870" y="11631144"/>
          <a:ext cx="155448" cy="1554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15</xdr:col>
      <xdr:colOff>249790</xdr:colOff>
      <xdr:row>44</xdr:row>
      <xdr:rowOff>82924</xdr:rowOff>
    </xdr:from>
    <xdr:to>
      <xdr:col>15</xdr:col>
      <xdr:colOff>405238</xdr:colOff>
      <xdr:row>44</xdr:row>
      <xdr:rowOff>238372</xdr:rowOff>
    </xdr:to>
    <xdr:sp macro="" textlink="">
      <xdr:nvSpPr>
        <xdr:cNvPr id="20" name="Rectangle 19"/>
        <xdr:cNvSpPr/>
      </xdr:nvSpPr>
      <xdr:spPr>
        <a:xfrm>
          <a:off x="11187771821" y="11624983"/>
          <a:ext cx="155448" cy="155448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975</xdr:colOff>
      <xdr:row>4</xdr:row>
      <xdr:rowOff>28575</xdr:rowOff>
    </xdr:from>
    <xdr:to>
      <xdr:col>16</xdr:col>
      <xdr:colOff>180975</xdr:colOff>
      <xdr:row>4</xdr:row>
      <xdr:rowOff>208575</xdr:rowOff>
    </xdr:to>
    <xdr:sp macro="" textlink="">
      <xdr:nvSpPr>
        <xdr:cNvPr id="2" name="Rectangle 1"/>
        <xdr:cNvSpPr/>
      </xdr:nvSpPr>
      <xdr:spPr>
        <a:xfrm>
          <a:off x="9976475475" y="800100"/>
          <a:ext cx="180000" cy="1800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oneCell">
    <xdr:from>
      <xdr:col>3</xdr:col>
      <xdr:colOff>219075</xdr:colOff>
      <xdr:row>2</xdr:row>
      <xdr:rowOff>85725</xdr:rowOff>
    </xdr:from>
    <xdr:to>
      <xdr:col>4</xdr:col>
      <xdr:colOff>381000</xdr:colOff>
      <xdr:row>5</xdr:row>
      <xdr:rowOff>181135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470175" y="428625"/>
          <a:ext cx="723900" cy="685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975</xdr:colOff>
      <xdr:row>5</xdr:row>
      <xdr:rowOff>28575</xdr:rowOff>
    </xdr:from>
    <xdr:to>
      <xdr:col>16</xdr:col>
      <xdr:colOff>180975</xdr:colOff>
      <xdr:row>5</xdr:row>
      <xdr:rowOff>208575</xdr:rowOff>
    </xdr:to>
    <xdr:sp macro="" textlink="">
      <xdr:nvSpPr>
        <xdr:cNvPr id="4" name="Rectangle 3"/>
        <xdr:cNvSpPr/>
      </xdr:nvSpPr>
      <xdr:spPr>
        <a:xfrm>
          <a:off x="9976475475" y="1038225"/>
          <a:ext cx="180000" cy="1800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975</xdr:colOff>
      <xdr:row>4</xdr:row>
      <xdr:rowOff>28575</xdr:rowOff>
    </xdr:from>
    <xdr:to>
      <xdr:col>15</xdr:col>
      <xdr:colOff>180975</xdr:colOff>
      <xdr:row>4</xdr:row>
      <xdr:rowOff>208575</xdr:rowOff>
    </xdr:to>
    <xdr:sp macro="" textlink="">
      <xdr:nvSpPr>
        <xdr:cNvPr id="2" name="Rectangle 1"/>
        <xdr:cNvSpPr/>
      </xdr:nvSpPr>
      <xdr:spPr>
        <a:xfrm>
          <a:off x="9975770625" y="723900"/>
          <a:ext cx="180000" cy="1800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oneCell">
    <xdr:from>
      <xdr:col>1</xdr:col>
      <xdr:colOff>165652</xdr:colOff>
      <xdr:row>2</xdr:row>
      <xdr:rowOff>115956</xdr:rowOff>
    </xdr:from>
    <xdr:to>
      <xdr:col>3</xdr:col>
      <xdr:colOff>284507</xdr:colOff>
      <xdr:row>5</xdr:row>
      <xdr:rowOff>168727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224558" y="405847"/>
          <a:ext cx="682073" cy="649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975</xdr:colOff>
      <xdr:row>5</xdr:row>
      <xdr:rowOff>28575</xdr:rowOff>
    </xdr:from>
    <xdr:to>
      <xdr:col>15</xdr:col>
      <xdr:colOff>180975</xdr:colOff>
      <xdr:row>5</xdr:row>
      <xdr:rowOff>208575</xdr:rowOff>
    </xdr:to>
    <xdr:sp macro="" textlink="">
      <xdr:nvSpPr>
        <xdr:cNvPr id="4" name="Rectangle 3"/>
        <xdr:cNvSpPr/>
      </xdr:nvSpPr>
      <xdr:spPr>
        <a:xfrm>
          <a:off x="9975770625" y="962025"/>
          <a:ext cx="180000" cy="1800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oneCellAnchor>
    <xdr:from>
      <xdr:col>8</xdr:col>
      <xdr:colOff>142875</xdr:colOff>
      <xdr:row>63</xdr:row>
      <xdr:rowOff>0</xdr:rowOff>
    </xdr:from>
    <xdr:ext cx="65" cy="172227"/>
    <xdr:sp macro="" textlink="">
      <xdr:nvSpPr>
        <xdr:cNvPr id="5" name="TextBox 4"/>
        <xdr:cNvSpPr txBox="1"/>
      </xdr:nvSpPr>
      <xdr:spPr>
        <a:xfrm>
          <a:off x="11226888835" y="23531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975</xdr:colOff>
      <xdr:row>4</xdr:row>
      <xdr:rowOff>28575</xdr:rowOff>
    </xdr:from>
    <xdr:to>
      <xdr:col>17</xdr:col>
      <xdr:colOff>180975</xdr:colOff>
      <xdr:row>4</xdr:row>
      <xdr:rowOff>208575</xdr:rowOff>
    </xdr:to>
    <xdr:sp macro="" textlink="">
      <xdr:nvSpPr>
        <xdr:cNvPr id="2" name="Rectangle 1"/>
        <xdr:cNvSpPr/>
      </xdr:nvSpPr>
      <xdr:spPr>
        <a:xfrm>
          <a:off x="11223602775" y="666750"/>
          <a:ext cx="180000" cy="1800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oneCell">
    <xdr:from>
      <xdr:col>4</xdr:col>
      <xdr:colOff>165652</xdr:colOff>
      <xdr:row>2</xdr:row>
      <xdr:rowOff>41827</xdr:rowOff>
    </xdr:from>
    <xdr:to>
      <xdr:col>5</xdr:col>
      <xdr:colOff>696050</xdr:colOff>
      <xdr:row>5</xdr:row>
      <xdr:rowOff>210555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507425" y="327577"/>
          <a:ext cx="806623" cy="759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975</xdr:colOff>
      <xdr:row>5</xdr:row>
      <xdr:rowOff>28575</xdr:rowOff>
    </xdr:from>
    <xdr:to>
      <xdr:col>17</xdr:col>
      <xdr:colOff>180975</xdr:colOff>
      <xdr:row>5</xdr:row>
      <xdr:rowOff>208575</xdr:rowOff>
    </xdr:to>
    <xdr:sp macro="" textlink="">
      <xdr:nvSpPr>
        <xdr:cNvPr id="4" name="Rectangle 3"/>
        <xdr:cNvSpPr/>
      </xdr:nvSpPr>
      <xdr:spPr>
        <a:xfrm>
          <a:off x="11223602775" y="904875"/>
          <a:ext cx="180000" cy="1800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975</xdr:colOff>
      <xdr:row>4</xdr:row>
      <xdr:rowOff>28575</xdr:rowOff>
    </xdr:from>
    <xdr:to>
      <xdr:col>15</xdr:col>
      <xdr:colOff>180975</xdr:colOff>
      <xdr:row>4</xdr:row>
      <xdr:rowOff>208575</xdr:rowOff>
    </xdr:to>
    <xdr:sp macro="" textlink="">
      <xdr:nvSpPr>
        <xdr:cNvPr id="2" name="Rectangle 1"/>
        <xdr:cNvSpPr/>
      </xdr:nvSpPr>
      <xdr:spPr>
        <a:xfrm>
          <a:off x="9977332725" y="600075"/>
          <a:ext cx="180000" cy="1800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oneCell">
    <xdr:from>
      <xdr:col>1</xdr:col>
      <xdr:colOff>165652</xdr:colOff>
      <xdr:row>2</xdr:row>
      <xdr:rowOff>115956</xdr:rowOff>
    </xdr:from>
    <xdr:to>
      <xdr:col>3</xdr:col>
      <xdr:colOff>284507</xdr:colOff>
      <xdr:row>5</xdr:row>
      <xdr:rowOff>168727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582243" y="335031"/>
          <a:ext cx="680830" cy="643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975</xdr:colOff>
      <xdr:row>5</xdr:row>
      <xdr:rowOff>28575</xdr:rowOff>
    </xdr:from>
    <xdr:to>
      <xdr:col>15</xdr:col>
      <xdr:colOff>180975</xdr:colOff>
      <xdr:row>5</xdr:row>
      <xdr:rowOff>208575</xdr:rowOff>
    </xdr:to>
    <xdr:sp macro="" textlink="">
      <xdr:nvSpPr>
        <xdr:cNvPr id="4" name="Rectangle 3"/>
        <xdr:cNvSpPr/>
      </xdr:nvSpPr>
      <xdr:spPr>
        <a:xfrm>
          <a:off x="9977332725" y="838200"/>
          <a:ext cx="180000" cy="18000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oneCellAnchor>
    <xdr:from>
      <xdr:col>8</xdr:col>
      <xdr:colOff>142875</xdr:colOff>
      <xdr:row>130</xdr:row>
      <xdr:rowOff>0</xdr:rowOff>
    </xdr:from>
    <xdr:ext cx="65" cy="172227"/>
    <xdr:sp macro="" textlink="">
      <xdr:nvSpPr>
        <xdr:cNvPr id="5" name="TextBox 4"/>
        <xdr:cNvSpPr txBox="1"/>
      </xdr:nvSpPr>
      <xdr:spPr>
        <a:xfrm>
          <a:off x="9980094910" y="47424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kfsr\Information\Departments\01.Engineering\04-Subcontractor%20documents\15-&#1586;&#1575;&#1585;&#1593;&#1740;%20-%20&#1606;&#1602;&#1575;&#1588;&#1740;%20-&#1588;.&#1602;%2024\02-&#1589;.&#1608;.&#1605;&#1608;&#1602;&#1578;%20-%20&#1588;&#1605;&#1575;&#1585;&#1607;%202%20-%20&#1606;&#1602;&#1575;&#1588;&#1740;%20-%20&#1586;&#1575;&#1585;&#1593;&#1740;\01-%20&#1589;.&#1608;.&#1588;&#1605;&#1575;&#1585;&#1607;-2-%20&#1586;&#1575;&#1585;&#1593;&#1740;%20-&#1606;&#1602;&#1575;&#1588;&#1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shegar_s/Downloads/d2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وکش"/>
      <sheetName val="خلاصه مالی"/>
      <sheetName val="ریزمتره1"/>
      <sheetName val="کسورات"/>
    </sheetNames>
    <sheetDataSet>
      <sheetData sheetId="0" refreshError="1">
        <row r="3">
          <cell r="E3" t="str">
            <v>شرکت مهندسی و اجراءِ ژالکه</v>
          </cell>
        </row>
        <row r="4">
          <cell r="P4" t="str">
            <v>P</v>
          </cell>
        </row>
        <row r="5">
          <cell r="P5" t="str">
            <v>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2a"/>
    </sheetNames>
    <definedNames>
      <definedName name="d2a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file:///\\192.168.140.3\Info\6.Technical%20Archive\&#1602;&#1585;&#1575;&#1585;&#1583;&#1575;&#1583;%20&#1662;&#1740;&#1605;&#1575;&#1606;&#1705;&#1575;&#1585;&#1575;&#1606;\02-&#1575;&#1581;&#1605;&#1583;%20&#1580;&#1575;&#1605;&#1740;\00-&#1602;&#1585;&#1575;&#1585;&#1583;&#1575;&#1583;\&#1601;&#1607;&#1585;&#1587;&#1578;%20&#1605;&#1606;&#1590;&#1605;%20&#1576;&#1607;%20&#1602;&#1585;&#1575;&#1585;&#1583;&#1575;&#1583;-&#1580;&#1575;&#1605;&#1740;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182"/>
  <sheetViews>
    <sheetView rightToLeft="1" view="pageBreakPreview" zoomScale="115" zoomScaleNormal="85" zoomScaleSheetLayoutView="115" workbookViewId="0">
      <selection activeCell="L23" sqref="L23:N23"/>
    </sheetView>
    <sheetView rightToLeft="1" workbookViewId="1"/>
  </sheetViews>
  <sheetFormatPr defaultRowHeight="15"/>
  <cols>
    <col min="1" max="1" width="1.25" customWidth="1"/>
    <col min="2" max="2" width="1.875" customWidth="1"/>
    <col min="3" max="3" width="1.375" customWidth="1"/>
    <col min="4" max="4" width="14.625" customWidth="1"/>
    <col min="5" max="5" width="13.125" customWidth="1"/>
    <col min="6" max="7" width="2.875" customWidth="1"/>
    <col min="8" max="8" width="5.625" customWidth="1"/>
    <col min="9" max="9" width="0.875" customWidth="1"/>
    <col min="10" max="10" width="7.375" customWidth="1"/>
    <col min="11" max="11" width="4.625" customWidth="1"/>
    <col min="12" max="12" width="8.625" customWidth="1"/>
    <col min="13" max="13" width="8" customWidth="1"/>
    <col min="14" max="14" width="7.875" customWidth="1"/>
    <col min="15" max="15" width="6.125" customWidth="1"/>
    <col min="16" max="16" width="5.875" customWidth="1"/>
    <col min="17" max="17" width="5.375" customWidth="1"/>
    <col min="18" max="18" width="1.375" customWidth="1"/>
    <col min="19" max="19" width="0.625" customWidth="1"/>
    <col min="21" max="21" width="16.25" customWidth="1"/>
    <col min="22" max="22" width="13.25" customWidth="1"/>
  </cols>
  <sheetData>
    <row r="1" spans="1:19" ht="18.75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ht="6.75" customHeight="1">
      <c r="A2" s="3"/>
      <c r="B2" s="7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9"/>
      <c r="S2" s="8"/>
    </row>
    <row r="3" spans="1:19" ht="18.75" customHeight="1">
      <c r="A3" s="3"/>
      <c r="B3" s="7"/>
      <c r="C3" s="6"/>
      <c r="D3" s="16"/>
      <c r="E3" s="14"/>
      <c r="F3" s="209" t="s">
        <v>11</v>
      </c>
      <c r="G3" s="209"/>
      <c r="H3" s="209"/>
      <c r="I3" s="209"/>
      <c r="J3" s="209"/>
      <c r="K3" s="209"/>
      <c r="L3" s="209"/>
      <c r="M3" s="209"/>
      <c r="N3" s="16"/>
      <c r="O3" s="16"/>
      <c r="P3" s="16"/>
      <c r="Q3" s="16"/>
      <c r="R3" s="10"/>
      <c r="S3" s="8"/>
    </row>
    <row r="4" spans="1:19" ht="22.5">
      <c r="A4" s="3"/>
      <c r="B4" s="7"/>
      <c r="C4" s="6"/>
      <c r="D4" s="16"/>
      <c r="E4" s="14"/>
      <c r="F4" s="210" t="s">
        <v>289</v>
      </c>
      <c r="G4" s="210"/>
      <c r="H4" s="210"/>
      <c r="I4" s="210"/>
      <c r="J4" s="210"/>
      <c r="K4" s="210"/>
      <c r="L4" s="210"/>
      <c r="M4" s="210"/>
      <c r="N4" s="211" t="s">
        <v>13</v>
      </c>
      <c r="O4" s="211"/>
      <c r="P4" s="50" t="s">
        <v>14</v>
      </c>
      <c r="Q4" s="17" t="s">
        <v>42</v>
      </c>
      <c r="R4" s="10"/>
      <c r="S4" s="8"/>
    </row>
    <row r="5" spans="1:19" ht="18.75" customHeight="1">
      <c r="A5" s="3"/>
      <c r="B5" s="7"/>
      <c r="C5" s="6"/>
      <c r="D5" s="16"/>
      <c r="E5" s="14"/>
      <c r="F5" s="209" t="s">
        <v>12</v>
      </c>
      <c r="G5" s="209"/>
      <c r="H5" s="209"/>
      <c r="I5" s="209"/>
      <c r="J5" s="209"/>
      <c r="K5" s="209"/>
      <c r="L5" s="209"/>
      <c r="M5" s="209"/>
      <c r="N5" s="211"/>
      <c r="O5" s="211"/>
      <c r="P5" s="50" t="s">
        <v>15</v>
      </c>
      <c r="Q5" s="17" t="s">
        <v>43</v>
      </c>
      <c r="R5" s="10"/>
      <c r="S5" s="8"/>
    </row>
    <row r="6" spans="1:19" ht="6.75" customHeight="1">
      <c r="A6" s="3"/>
      <c r="B6" s="7"/>
      <c r="C6" s="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0"/>
      <c r="S6" s="8"/>
    </row>
    <row r="7" spans="1:19" ht="14.25" customHeight="1">
      <c r="A7" s="3"/>
      <c r="B7" s="7"/>
      <c r="C7" s="6"/>
      <c r="D7" s="184" t="s">
        <v>16</v>
      </c>
      <c r="E7" s="185" t="s">
        <v>13</v>
      </c>
      <c r="F7" s="185" t="s">
        <v>30</v>
      </c>
      <c r="G7" s="185"/>
      <c r="H7" s="183">
        <v>1</v>
      </c>
      <c r="I7" s="16"/>
      <c r="J7" s="16"/>
      <c r="K7" s="16"/>
      <c r="L7" s="16"/>
      <c r="M7" s="55" t="s">
        <v>22</v>
      </c>
      <c r="N7" s="185" t="s">
        <v>179</v>
      </c>
      <c r="O7" s="185"/>
      <c r="P7" s="185"/>
      <c r="Q7" s="16"/>
      <c r="R7" s="10"/>
      <c r="S7" s="8"/>
    </row>
    <row r="8" spans="1:19" ht="22.5" customHeight="1">
      <c r="A8" s="3"/>
      <c r="B8" s="7"/>
      <c r="C8" s="6"/>
      <c r="D8" s="184"/>
      <c r="E8" s="185"/>
      <c r="F8" s="185"/>
      <c r="G8" s="185"/>
      <c r="H8" s="183"/>
      <c r="I8" s="16"/>
      <c r="J8" s="16"/>
      <c r="K8" s="16"/>
      <c r="L8" s="16"/>
      <c r="M8" s="55" t="s">
        <v>23</v>
      </c>
      <c r="N8" s="183" t="s">
        <v>404</v>
      </c>
      <c r="O8" s="183"/>
      <c r="P8" s="183"/>
      <c r="Q8" s="16"/>
      <c r="R8" s="10"/>
      <c r="S8" s="8"/>
    </row>
    <row r="9" spans="1:19" ht="6.75" customHeight="1">
      <c r="A9" s="3"/>
      <c r="B9" s="7"/>
      <c r="C9" s="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0"/>
      <c r="S9" s="8"/>
    </row>
    <row r="10" spans="1:19" ht="22.5">
      <c r="A10" s="3"/>
      <c r="B10" s="7"/>
      <c r="C10" s="6"/>
      <c r="D10" s="55" t="s">
        <v>17</v>
      </c>
      <c r="E10" s="197" t="s">
        <v>176</v>
      </c>
      <c r="F10" s="197"/>
      <c r="G10" s="197"/>
      <c r="H10" s="197"/>
      <c r="I10" s="197"/>
      <c r="J10" s="184" t="s">
        <v>21</v>
      </c>
      <c r="K10" s="184"/>
      <c r="L10" s="184"/>
      <c r="M10" s="197" t="str">
        <f>+E10</f>
        <v xml:space="preserve">احمد جامی </v>
      </c>
      <c r="N10" s="197"/>
      <c r="O10" s="197"/>
      <c r="P10" s="197"/>
      <c r="Q10" s="45"/>
      <c r="R10" s="10"/>
      <c r="S10" s="8"/>
    </row>
    <row r="11" spans="1:19" ht="18" customHeight="1">
      <c r="A11" s="3"/>
      <c r="B11" s="7"/>
      <c r="C11" s="6"/>
      <c r="D11" s="55" t="s">
        <v>18</v>
      </c>
      <c r="E11" s="198" t="s">
        <v>177</v>
      </c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45"/>
      <c r="R11" s="10"/>
      <c r="S11" s="8"/>
    </row>
    <row r="12" spans="1:19" ht="22.5">
      <c r="A12" s="3"/>
      <c r="B12" s="7"/>
      <c r="C12" s="6"/>
      <c r="D12" s="55" t="s">
        <v>19</v>
      </c>
      <c r="E12" s="185" t="s">
        <v>178</v>
      </c>
      <c r="F12" s="185"/>
      <c r="G12" s="185"/>
      <c r="H12" s="185"/>
      <c r="I12" s="45"/>
      <c r="J12" s="45"/>
      <c r="K12" s="45"/>
      <c r="L12" s="184" t="s">
        <v>24</v>
      </c>
      <c r="M12" s="184"/>
      <c r="N12" s="185" t="s">
        <v>179</v>
      </c>
      <c r="O12" s="185"/>
      <c r="P12" s="185"/>
      <c r="Q12" s="45"/>
      <c r="R12" s="10"/>
      <c r="S12" s="8"/>
    </row>
    <row r="13" spans="1:19" ht="22.5">
      <c r="A13" s="3"/>
      <c r="B13" s="7"/>
      <c r="C13" s="6"/>
      <c r="D13" s="55" t="s">
        <v>20</v>
      </c>
      <c r="E13" s="194" t="s">
        <v>76</v>
      </c>
      <c r="F13" s="195"/>
      <c r="G13" s="195"/>
      <c r="H13" s="195"/>
      <c r="I13" s="45"/>
      <c r="J13" s="45"/>
      <c r="K13" s="45"/>
      <c r="L13" s="184" t="s">
        <v>25</v>
      </c>
      <c r="M13" s="184"/>
      <c r="N13" s="196" t="s">
        <v>180</v>
      </c>
      <c r="O13" s="196"/>
      <c r="P13" s="196"/>
      <c r="Q13" s="45"/>
      <c r="R13" s="10"/>
      <c r="S13" s="8"/>
    </row>
    <row r="14" spans="1:19" ht="18" customHeight="1">
      <c r="A14" s="3"/>
      <c r="B14" s="7"/>
      <c r="C14" s="6"/>
      <c r="D14" s="45"/>
      <c r="E14" s="45"/>
      <c r="F14" s="45"/>
      <c r="G14" s="45"/>
      <c r="H14" s="45"/>
      <c r="I14" s="45"/>
      <c r="J14" s="45"/>
      <c r="K14" s="45"/>
      <c r="L14" s="184" t="s">
        <v>26</v>
      </c>
      <c r="M14" s="184"/>
      <c r="N14" s="185" t="s">
        <v>56</v>
      </c>
      <c r="O14" s="185"/>
      <c r="P14" s="185"/>
      <c r="Q14" s="45"/>
      <c r="R14" s="10"/>
      <c r="S14" s="8"/>
    </row>
    <row r="15" spans="1:19" ht="6" customHeight="1" thickBot="1">
      <c r="A15" s="3"/>
      <c r="B15" s="7"/>
      <c r="C15" s="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0"/>
      <c r="S15" s="8"/>
    </row>
    <row r="16" spans="1:19" ht="22.5">
      <c r="A16" s="3"/>
      <c r="B16" s="7"/>
      <c r="C16" s="6"/>
      <c r="D16" s="56" t="s">
        <v>79</v>
      </c>
      <c r="E16" s="57" t="s">
        <v>13</v>
      </c>
      <c r="F16" s="188" t="s">
        <v>30</v>
      </c>
      <c r="G16" s="188"/>
      <c r="H16" s="58">
        <f>H7</f>
        <v>1</v>
      </c>
      <c r="I16" s="16"/>
      <c r="J16" s="16"/>
      <c r="K16" s="16"/>
      <c r="L16" s="186">
        <f>'خلاصه مالی'!O27</f>
        <v>67800000</v>
      </c>
      <c r="M16" s="186"/>
      <c r="N16" s="186"/>
      <c r="O16" s="57" t="s">
        <v>5</v>
      </c>
      <c r="P16" s="16"/>
      <c r="Q16" s="16"/>
      <c r="R16" s="10"/>
      <c r="S16" s="8"/>
    </row>
    <row r="17" spans="1:41" ht="6" customHeight="1">
      <c r="A17" s="3"/>
      <c r="B17" s="7"/>
      <c r="C17" s="67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16"/>
      <c r="R17" s="10"/>
      <c r="S17" s="8"/>
    </row>
    <row r="18" spans="1:41" ht="22.5">
      <c r="A18" s="3"/>
      <c r="B18" s="7"/>
      <c r="C18" s="6"/>
      <c r="D18" s="59" t="s">
        <v>27</v>
      </c>
      <c r="E18" s="43" t="s">
        <v>29</v>
      </c>
      <c r="F18" s="185" t="s">
        <v>30</v>
      </c>
      <c r="G18" s="185"/>
      <c r="H18" s="60">
        <f>H16-1</f>
        <v>0</v>
      </c>
      <c r="I18" s="16"/>
      <c r="J18" s="16"/>
      <c r="K18" s="16"/>
      <c r="L18" s="189">
        <v>0</v>
      </c>
      <c r="M18" s="189"/>
      <c r="N18" s="189"/>
      <c r="O18" s="43" t="s">
        <v>5</v>
      </c>
      <c r="P18" s="16"/>
      <c r="Q18" s="16"/>
      <c r="R18" s="10"/>
      <c r="S18" s="8"/>
    </row>
    <row r="19" spans="1:41" ht="6" customHeight="1">
      <c r="A19" s="3"/>
      <c r="B19" s="7"/>
      <c r="C19" s="67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16"/>
      <c r="R19" s="10"/>
      <c r="S19" s="8"/>
    </row>
    <row r="20" spans="1:41" ht="22.5">
      <c r="A20" s="3"/>
      <c r="B20" s="7"/>
      <c r="C20" s="6"/>
      <c r="D20" s="59" t="s">
        <v>28</v>
      </c>
      <c r="E20" s="43" t="s">
        <v>13</v>
      </c>
      <c r="F20" s="185" t="s">
        <v>30</v>
      </c>
      <c r="G20" s="185"/>
      <c r="H20" s="62">
        <f>H16</f>
        <v>1</v>
      </c>
      <c r="I20" s="16"/>
      <c r="J20" s="16"/>
      <c r="K20" s="16"/>
      <c r="L20" s="187">
        <f>L16-L18</f>
        <v>67800000</v>
      </c>
      <c r="M20" s="187"/>
      <c r="N20" s="187"/>
      <c r="O20" s="43" t="s">
        <v>5</v>
      </c>
      <c r="P20" s="16"/>
      <c r="Q20" s="16"/>
      <c r="R20" s="10"/>
      <c r="S20" s="8"/>
      <c r="V20" s="27"/>
    </row>
    <row r="21" spans="1:41" ht="6" customHeight="1" thickBot="1">
      <c r="A21" s="3"/>
      <c r="B21" s="7"/>
      <c r="C21" s="6"/>
      <c r="D21" s="16"/>
      <c r="E21" s="16"/>
      <c r="F21" s="16"/>
      <c r="G21" s="16"/>
      <c r="H21" s="16"/>
      <c r="I21" s="45"/>
      <c r="J21" s="45"/>
      <c r="K21" s="45"/>
      <c r="L21" s="46"/>
      <c r="M21" s="46"/>
      <c r="N21" s="46"/>
      <c r="O21" s="16"/>
      <c r="P21" s="16"/>
      <c r="Q21" s="16"/>
      <c r="R21" s="10"/>
      <c r="S21" s="8"/>
    </row>
    <row r="22" spans="1:41" ht="22.5" customHeight="1">
      <c r="A22" s="3"/>
      <c r="B22" s="7"/>
      <c r="C22" s="6"/>
      <c r="D22" s="182" t="s">
        <v>3</v>
      </c>
      <c r="E22" s="203" t="s">
        <v>73</v>
      </c>
      <c r="F22" s="203"/>
      <c r="G22" s="203"/>
      <c r="H22" s="203"/>
      <c r="I22" s="45"/>
      <c r="J22" s="45"/>
      <c r="K22" s="45"/>
      <c r="L22" s="191">
        <f>ROUND(L20*0.1,0)</f>
        <v>6780000</v>
      </c>
      <c r="M22" s="191"/>
      <c r="N22" s="191"/>
      <c r="O22" s="57" t="s">
        <v>5</v>
      </c>
      <c r="P22" s="16"/>
      <c r="Q22" s="16"/>
      <c r="R22" s="10"/>
      <c r="S22" s="8"/>
    </row>
    <row r="23" spans="1:41" ht="22.5" customHeight="1">
      <c r="A23" s="3"/>
      <c r="B23" s="7"/>
      <c r="C23" s="6"/>
      <c r="D23" s="184"/>
      <c r="E23" s="200" t="s">
        <v>297</v>
      </c>
      <c r="F23" s="200"/>
      <c r="G23" s="200"/>
      <c r="H23" s="200"/>
      <c r="I23" s="45"/>
      <c r="J23" s="45"/>
      <c r="K23" s="45"/>
      <c r="L23" s="189">
        <v>14468666</v>
      </c>
      <c r="M23" s="189"/>
      <c r="N23" s="189"/>
      <c r="O23" s="43" t="s">
        <v>5</v>
      </c>
      <c r="P23" s="16"/>
      <c r="Q23" s="16"/>
      <c r="R23" s="10"/>
      <c r="S23" s="8"/>
      <c r="AH23" s="1">
        <f>K33</f>
        <v>-21390997</v>
      </c>
      <c r="AI23" s="2">
        <f>INT(AH23/1000000000)</f>
        <v>-1</v>
      </c>
      <c r="AJ23" s="2">
        <f>INT(AI23/100)</f>
        <v>-1</v>
      </c>
      <c r="AK23" s="2"/>
      <c r="AL23" s="2">
        <f>INT(AI23/10)-AJ23*10</f>
        <v>9</v>
      </c>
      <c r="AM23" s="2"/>
      <c r="AN23" s="2">
        <f>INT(AI23)-AL23*10-AJ23*100</f>
        <v>9</v>
      </c>
      <c r="AO23" s="2" t="str">
        <f>IF(SUM(AJ23:AN23)&lt;&gt;0," میلیارد","")</f>
        <v xml:space="preserve"> میلیارد</v>
      </c>
    </row>
    <row r="24" spans="1:41" ht="20.25" customHeight="1">
      <c r="A24" s="3"/>
      <c r="B24" s="7"/>
      <c r="C24" s="6"/>
      <c r="D24" s="184"/>
      <c r="E24" s="200" t="s">
        <v>135</v>
      </c>
      <c r="F24" s="200"/>
      <c r="G24" s="200"/>
      <c r="H24" s="200"/>
      <c r="I24" s="45"/>
      <c r="J24" s="45"/>
      <c r="K24" s="45"/>
      <c r="L24" s="189">
        <v>52000000</v>
      </c>
      <c r="M24" s="189"/>
      <c r="N24" s="189"/>
      <c r="O24" s="43" t="s">
        <v>5</v>
      </c>
      <c r="P24" s="16"/>
      <c r="Q24" s="16"/>
      <c r="R24" s="10"/>
      <c r="S24" s="8"/>
      <c r="AH24" s="19" t="str">
        <f>CONCATENATE(AJ24,AK24,AL24,AM24,AN24,AO23,AO24,AJ26,AK26,AL26,AM26,AN26,AO25,AO26,AJ28,AK28,AL28,AM28,AN28,AO27,AO28,AJ30,AK30,AL30,AM30,AN30," ریال")</f>
        <v xml:space="preserve"> و نود و نه میلیارد و نهصد و هفتاد و هشت میلیون و ششصد و نه هزار و سه ریال</v>
      </c>
      <c r="AI24" s="2"/>
      <c r="AJ24" s="2" t="str">
        <f>IF(AJ23=9,"نهصد",IF(AJ23=8,"هشتصد",IF(AJ23=7,"هفتصد",IF(AJ23=6,"ششصد",IF(AJ23=5,"پانصد",IF(AJ23=4,"چهارصد",IF(AJ23=3,"سیصد",IF(AJ23=2,"دویست",IF(AJ23=1,"یکصد","")))))))))</f>
        <v/>
      </c>
      <c r="AK24" s="2" t="str">
        <f>IF(AND(AJ23=0,AL23=0,AN23=0),"",IF(AJ23=0,"",IF(AND(AL23=0,AN23=0),""," و ")))</f>
        <v xml:space="preserve"> و </v>
      </c>
      <c r="AL24" s="2" t="str">
        <f>IF(AL23=9,"نود",IF(AL23=8,"هشتاد",IF(AL23=7,"هفتاد",IF(AL23=6,"شصت",IF(AL23=5,"پنجاه",IF(AL23=4,"چهل",IF(AL23=3,"سی",IF(AL23=2,"بیست",""))))))))</f>
        <v>نود</v>
      </c>
      <c r="AM24" s="2" t="str">
        <f>IF(AN24="","",IF(AL24="",""," و "))</f>
        <v xml:space="preserve"> و </v>
      </c>
      <c r="AN24" s="2" t="str">
        <f>IF(AL23=1,(IF(AN23=9,"نوزده",IF(AN23=8,"هجده",IF(AN23=7,"هفده",IF(AN23=6,"شانزده",IF(AN23=5,"پانزده",IF(AN23=4,"چهارده",IF(AN23=3,"سیزده",IF(AN23=2,"دوازده",IF(AN23=1,"یازده","ده")))))))))),IF(AN23=9,"نه",IF(AN23=8,"هشت",IF(AN23=7,"هفت",IF(AN23=6,"شش",IF(AN23=5,"پنج",IF(AN23=4,"چهار",IF(AN23=3,"سه",IF(AN23=2,"دو",IF(AN23=1,"یک",""))))))))))</f>
        <v>نه</v>
      </c>
      <c r="AO24" s="2" t="str">
        <f>IF(AND(SUM(AJ23:AN23)&lt;&gt;0,SUM(AJ25:AN25)&lt;&gt;0)," و ","")</f>
        <v xml:space="preserve"> و </v>
      </c>
    </row>
    <row r="25" spans="1:41" ht="26.25" customHeight="1">
      <c r="A25" s="3"/>
      <c r="B25" s="7"/>
      <c r="C25" s="6"/>
      <c r="D25" s="184"/>
      <c r="E25" s="201" t="s">
        <v>58</v>
      </c>
      <c r="F25" s="201"/>
      <c r="G25" s="201"/>
      <c r="H25" s="201"/>
      <c r="I25" s="45"/>
      <c r="J25" s="45"/>
      <c r="K25" s="45"/>
      <c r="L25" s="189">
        <f>+کسورات!Q58</f>
        <v>2400000</v>
      </c>
      <c r="M25" s="189"/>
      <c r="N25" s="189"/>
      <c r="O25" s="43" t="s">
        <v>5</v>
      </c>
      <c r="P25" s="16"/>
      <c r="Q25" s="16"/>
      <c r="R25" s="10"/>
      <c r="S25" s="8"/>
      <c r="U25" t="s">
        <v>5</v>
      </c>
      <c r="V25" t="e">
        <f>+O25-U25</f>
        <v>#VALUE!</v>
      </c>
      <c r="AH25" s="2"/>
      <c r="AI25" s="2">
        <f>INT(AH23/1000000)-AI23*1000</f>
        <v>978</v>
      </c>
      <c r="AJ25" s="2">
        <f>INT(AI25/100)</f>
        <v>9</v>
      </c>
      <c r="AK25" s="2"/>
      <c r="AL25" s="2">
        <f>INT(AI25/10)-AJ25*10</f>
        <v>7</v>
      </c>
      <c r="AM25" s="2"/>
      <c r="AN25" s="2">
        <f>INT(AI25)-AL25*10-AJ25*100</f>
        <v>8</v>
      </c>
      <c r="AO25" s="2" t="str">
        <f>IF(SUM(AJ25:AN25)&lt;&gt;0," میلیون","")</f>
        <v xml:space="preserve"> میلیون</v>
      </c>
    </row>
    <row r="26" spans="1:41" ht="27.75" customHeight="1">
      <c r="A26" s="3"/>
      <c r="B26" s="7"/>
      <c r="C26" s="6"/>
      <c r="D26" s="184"/>
      <c r="E26" s="201" t="s">
        <v>338</v>
      </c>
      <c r="F26" s="201"/>
      <c r="G26" s="201"/>
      <c r="H26" s="201"/>
      <c r="I26" s="45"/>
      <c r="J26" s="45"/>
      <c r="K26" s="45"/>
      <c r="L26" s="189">
        <f>+(200000+190000)*14</f>
        <v>5460000</v>
      </c>
      <c r="M26" s="189"/>
      <c r="N26" s="189"/>
      <c r="O26" s="43" t="s">
        <v>5</v>
      </c>
      <c r="P26" s="16"/>
      <c r="Q26" s="16"/>
      <c r="R26" s="10"/>
      <c r="S26" s="8"/>
      <c r="AH26" s="2"/>
      <c r="AI26" s="2"/>
      <c r="AJ26" s="2" t="str">
        <f>IF(AJ25=9,"نهصد",IF(AJ25=8,"هشتصد",IF(AJ25=7,"هفتصد",IF(AJ25=6,"ششصد",IF(AJ25=5,"پانصد",IF(AJ25=4,"چهارصد",IF(AJ25=3,"سیصد",IF(AJ25=2,"دویست",IF(AJ25=1,"یکصد","")))))))))</f>
        <v>نهصد</v>
      </c>
      <c r="AK26" s="2" t="str">
        <f>IF(AND(AJ25=0,AL25=0,AN25=0),"",IF(AJ25=0,"",IF(AND(AL25=0,AN25=0),""," و ")))</f>
        <v xml:space="preserve"> و </v>
      </c>
      <c r="AL26" s="2" t="str">
        <f>IF(AL25=9,"نود",IF(AL25=8,"هشتاد",IF(AL25=7,"هفتاد",IF(AL25=6,"شصت",IF(AL25=5,"پنجاه",IF(AL25=4,"چهل",IF(AL25=3,"سی",IF(AL25=2,"بیست",""))))))))</f>
        <v>هفتاد</v>
      </c>
      <c r="AM26" s="2" t="str">
        <f>IF(AN26="","",IF(AL26="",""," و "))</f>
        <v xml:space="preserve"> و </v>
      </c>
      <c r="AN26" s="2" t="str">
        <f>IF(AL25=1,(IF(AN25=9,"نوزده",IF(AN25=8,"هجده",IF(AN25=7,"هفده",IF(AN25=6,"شانزده",IF(AN25=5,"پانزده",IF(AN25=4,"چهارده",IF(AN25=3,"سیزده",IF(AN25=2,"دوازده",IF(AN25=1,"یازده","ده")))))))))),IF(AN25=9,"نه",IF(AN25=8,"هشت",IF(AN25=7,"هفت",IF(AN25=6,"شش",IF(AN25=5,"پنج",IF(AN25=4,"چهار",IF(AN25=3,"سه",IF(AN25=2,"دو",IF(AN25=1,"یک",""))))))))))</f>
        <v>هشت</v>
      </c>
      <c r="AO26" s="2" t="str">
        <f>IF(AND(SUM(AJ25:AN25)&lt;&gt;0,SUM(AJ27:AN27)&lt;&gt;0)," و ","")</f>
        <v xml:space="preserve"> و </v>
      </c>
    </row>
    <row r="27" spans="1:41" ht="28.5" customHeight="1">
      <c r="A27" s="3"/>
      <c r="B27" s="7"/>
      <c r="C27" s="6"/>
      <c r="D27" s="184"/>
      <c r="E27" s="201" t="s">
        <v>296</v>
      </c>
      <c r="F27" s="201"/>
      <c r="G27" s="201"/>
      <c r="H27" s="201"/>
      <c r="I27" s="45"/>
      <c r="J27" s="45"/>
      <c r="K27" s="45"/>
      <c r="L27" s="212">
        <v>5572331</v>
      </c>
      <c r="M27" s="212"/>
      <c r="N27" s="212"/>
      <c r="O27" s="43" t="s">
        <v>5</v>
      </c>
      <c r="P27" s="16"/>
      <c r="Q27" s="16"/>
      <c r="R27" s="10"/>
      <c r="S27" s="8"/>
      <c r="AH27" s="2"/>
      <c r="AI27" s="2">
        <f>INT(AH23/1000)-(AI23*1000000+AI25*1000)</f>
        <v>609</v>
      </c>
      <c r="AJ27" s="2">
        <f>INT(AI27/100)</f>
        <v>6</v>
      </c>
      <c r="AK27" s="2"/>
      <c r="AL27" s="2">
        <f>INT(AI27/10)-AJ27*10</f>
        <v>0</v>
      </c>
      <c r="AM27" s="2"/>
      <c r="AN27" s="2">
        <f>INT(AI27)-AL27*10-AJ27*100</f>
        <v>9</v>
      </c>
      <c r="AO27" s="2" t="str">
        <f>IF(SUM(AJ27:AN27)&lt;&gt;0," هزار","")</f>
        <v xml:space="preserve"> هزار</v>
      </c>
    </row>
    <row r="28" spans="1:41" ht="36" customHeight="1" thickBot="1">
      <c r="A28" s="3"/>
      <c r="B28" s="7"/>
      <c r="C28" s="6"/>
      <c r="D28" s="184"/>
      <c r="E28" s="202" t="str">
        <f>"هزینه غذا ("&amp;N7&amp;" الی "&amp;N8&amp;")"</f>
        <v>هزینه غذا (1398/03/14 الی 1398/04/26)</v>
      </c>
      <c r="F28" s="202"/>
      <c r="G28" s="202"/>
      <c r="H28" s="202"/>
      <c r="I28" s="45"/>
      <c r="J28" s="45"/>
      <c r="K28" s="45"/>
      <c r="L28" s="192">
        <v>2510000</v>
      </c>
      <c r="M28" s="192"/>
      <c r="N28" s="192"/>
      <c r="O28" s="63" t="s">
        <v>5</v>
      </c>
      <c r="P28" s="16"/>
      <c r="Q28" s="16"/>
      <c r="R28" s="10"/>
      <c r="S28" s="8"/>
      <c r="AH28" s="2"/>
      <c r="AI28" s="2"/>
      <c r="AJ28" s="2" t="str">
        <f>IF(AJ27=9,"نهصد",IF(AJ27=8,"هشتصد",IF(AJ27=7,"هفتصد",IF(AJ27=6,"ششصد",IF(AJ27=5,"پانصد",IF(AJ27=4,"چهارصد",IF(AJ27=3,"سیصد",IF(AJ27=2,"دویست",IF(AJ27=1,"یکصد","")))))))))</f>
        <v>ششصد</v>
      </c>
      <c r="AK28" s="2" t="str">
        <f>IF(AND(AJ27=0,AL27=0,AN27=0),"",IF(AJ27=0,"",IF(AND(AL27=0,AN27=0),""," و ")))</f>
        <v xml:space="preserve"> و </v>
      </c>
      <c r="AL28" s="2" t="str">
        <f>IF(AL27=9,"نود",IF(AL27=8,"هشتاد",IF(AL27=7,"هفتاد",IF(AL27=6,"شصت",IF(AL27=5,"پنجاه",IF(AL27=4,"چهل",IF(AL27=3,"سی",IF(AL27=2,"بیست",""))))))))</f>
        <v/>
      </c>
      <c r="AM28" s="2" t="str">
        <f>IF(AN28="","",IF(AL28="",""," و "))</f>
        <v/>
      </c>
      <c r="AN28" s="2" t="str">
        <f>IF(AL27=1,(IF(AN27=9,"نوزده",IF(AN27=8,"هجده",IF(AN27=7,"هفده",IF(AN27=6,"شانزده",IF(AN27=5,"پانزده",IF(AN27=4,"چهارده",IF(AN27=3,"سیزده",IF(AN27=2,"دوازده",IF(AN27=1,"یازده","ده")))))))))),IF(AN27=9,"نه",IF(AN27=8,"هشت",IF(AN27=7,"هفت",IF(AN27=6,"شش",IF(AN27=5,"پنج",IF(AN27=4,"چهار",IF(AN27=3,"سه",IF(AN27=2,"دو",IF(AN27=1,"یک",""))))))))))</f>
        <v>نه</v>
      </c>
      <c r="AO28" s="2" t="str">
        <f>IF(AND(SUM(AJ27:AN27)&lt;&gt;0,SUM(AJ29:AN29)&lt;&gt;0)," و ","")</f>
        <v xml:space="preserve"> و </v>
      </c>
    </row>
    <row r="29" spans="1:41" ht="22.5" customHeight="1" thickBot="1">
      <c r="A29" s="3"/>
      <c r="B29" s="7"/>
      <c r="C29" s="6"/>
      <c r="D29" s="199"/>
      <c r="E29" s="204" t="s">
        <v>31</v>
      </c>
      <c r="F29" s="204"/>
      <c r="G29" s="204"/>
      <c r="H29" s="204"/>
      <c r="I29" s="45"/>
      <c r="J29" s="45"/>
      <c r="K29" s="45"/>
      <c r="L29" s="193">
        <f>SUM(L22:N28)</f>
        <v>89190997</v>
      </c>
      <c r="M29" s="193"/>
      <c r="N29" s="193"/>
      <c r="O29" s="64" t="s">
        <v>5</v>
      </c>
      <c r="P29" s="16"/>
      <c r="Q29" s="16"/>
      <c r="R29" s="10"/>
      <c r="S29" s="8"/>
      <c r="AH29" s="2"/>
      <c r="AI29" s="2">
        <f>INT(AH23)-(AI23*1000000000+AI25*1000000+AI27*1000)</f>
        <v>3</v>
      </c>
      <c r="AJ29" s="2">
        <f>INT(AI29/100)</f>
        <v>0</v>
      </c>
      <c r="AK29" s="2"/>
      <c r="AL29" s="2">
        <f>INT(AI29/10)-AJ29*10</f>
        <v>0</v>
      </c>
      <c r="AM29" s="2"/>
      <c r="AN29" s="2">
        <f>INT(AI29)-AL29*10-AJ29*100</f>
        <v>3</v>
      </c>
      <c r="AO29" s="2"/>
    </row>
    <row r="30" spans="1:41" ht="7.5" customHeight="1">
      <c r="A30" s="3"/>
      <c r="B30" s="7"/>
      <c r="C30" s="67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16"/>
      <c r="R30" s="10"/>
      <c r="S30" s="8"/>
      <c r="AH30" s="2"/>
      <c r="AI30" s="2"/>
      <c r="AJ30" s="2" t="str">
        <f>IF(AJ29=9,"نهصد",IF(AJ29=8,"هشتصد",IF(AJ29=7,"هفتصد",IF(AJ29=6,"ششصد",IF(AJ29=5,"پانصد",IF(AJ29=4,"چهارصد",IF(AJ29=3,"سیصد",IF(AJ29=2,"دویست",IF(AJ29=1,"یکصد","")))))))))</f>
        <v/>
      </c>
      <c r="AK30" s="2" t="str">
        <f>IF(AND(AJ29=0,AL29=0,AN29=0),"",IF(AJ29=0,"",IF(AND(AL29=0,AN29=0),""," و ")))</f>
        <v/>
      </c>
      <c r="AL30" s="2" t="str">
        <f>IF(AL29=9,"نود",IF(AL29=8,"هشتاد",IF(AL29=7,"هفتاد",IF(AL29=6,"شصت",IF(AL29=5,"پنجاه",IF(AL29=4,"چهل",IF(AL29=3,"سی",IF(AL29=2,"بیست",""))))))))</f>
        <v/>
      </c>
      <c r="AM30" s="2" t="str">
        <f>IF(AN30="","",IF(AL30="",""," و "))</f>
        <v/>
      </c>
      <c r="AN30" s="2" t="str">
        <f>IF(AL29=1,(IF(AN29=9,"نوزده",IF(AN29=8,"هجده",IF(AN29=7,"هفده",IF(AN29=6,"شانزده",IF(AN29=5,"پانزده",IF(AN29=4,"چهارده",IF(AN29=3,"سیزده",IF(AN29=2,"دوازده",IF(AN29=1,"یازده","ده")))))))))),IF(AN29=9,"نه",IF(AN29=8,"هشت",IF(AN29=7,"هفت",IF(AN29=6,"شش",IF(AN29=5,"پنج",IF(AN29=4,"چهار",IF(AN29=3,"سه",IF(AN29=2,"دو",IF(AN29=1,"یک",""))))))))))</f>
        <v>سه</v>
      </c>
      <c r="AO30" s="2"/>
    </row>
    <row r="31" spans="1:41" ht="17.25" customHeight="1">
      <c r="A31" s="3"/>
      <c r="B31" s="7"/>
      <c r="C31" s="6"/>
      <c r="D31" s="55" t="s">
        <v>32</v>
      </c>
      <c r="E31" s="190" t="s">
        <v>76</v>
      </c>
      <c r="F31" s="185"/>
      <c r="G31" s="185"/>
      <c r="H31" s="185"/>
      <c r="I31" s="45"/>
      <c r="J31" s="45"/>
      <c r="K31" s="45"/>
      <c r="L31" s="185">
        <v>0</v>
      </c>
      <c r="M31" s="185"/>
      <c r="N31" s="185"/>
      <c r="O31" s="43" t="s">
        <v>5</v>
      </c>
      <c r="P31" s="16"/>
      <c r="Q31" s="16"/>
      <c r="R31" s="10"/>
      <c r="S31" s="8"/>
    </row>
    <row r="32" spans="1:41" ht="7.5" customHeight="1" thickBot="1">
      <c r="A32" s="3"/>
      <c r="B32" s="7"/>
      <c r="C32" s="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0"/>
      <c r="S32" s="8"/>
    </row>
    <row r="33" spans="1:22" ht="23.25" customHeight="1">
      <c r="A33" s="3"/>
      <c r="B33" s="7"/>
      <c r="C33" s="6"/>
      <c r="D33" s="182" t="s">
        <v>33</v>
      </c>
      <c r="E33" s="188" t="s">
        <v>13</v>
      </c>
      <c r="F33" s="188" t="s">
        <v>30</v>
      </c>
      <c r="G33" s="188"/>
      <c r="H33" s="205">
        <f>H7</f>
        <v>1</v>
      </c>
      <c r="I33" s="61"/>
      <c r="J33" s="65" t="s">
        <v>34</v>
      </c>
      <c r="K33" s="208">
        <f>L20-L29+L31</f>
        <v>-21390997</v>
      </c>
      <c r="L33" s="208"/>
      <c r="M33" s="208"/>
      <c r="N33" s="208"/>
      <c r="O33" s="208"/>
      <c r="P33" s="208"/>
      <c r="Q33" s="66" t="s">
        <v>5</v>
      </c>
      <c r="R33" s="10"/>
      <c r="S33" s="8"/>
      <c r="U33" s="37"/>
      <c r="V33" s="27"/>
    </row>
    <row r="34" spans="1:22" ht="36" customHeight="1">
      <c r="A34" s="3"/>
      <c r="B34" s="7"/>
      <c r="C34" s="6"/>
      <c r="D34" s="184"/>
      <c r="E34" s="185"/>
      <c r="F34" s="185"/>
      <c r="G34" s="185"/>
      <c r="H34" s="206"/>
      <c r="I34" s="61"/>
      <c r="J34" s="55" t="s">
        <v>2</v>
      </c>
      <c r="K34" s="207" t="str">
        <f>AH24</f>
        <v xml:space="preserve"> و نود و نه میلیارد و نهصد و هفتاد و هشت میلیون و ششصد و نه هزار و سه ریال</v>
      </c>
      <c r="L34" s="207"/>
      <c r="M34" s="207"/>
      <c r="N34" s="207"/>
      <c r="O34" s="207"/>
      <c r="P34" s="207"/>
      <c r="Q34" s="207"/>
      <c r="R34" s="10"/>
      <c r="S34" s="8"/>
    </row>
    <row r="35" spans="1:22" ht="7.5" customHeight="1" thickBot="1">
      <c r="A35" s="3"/>
      <c r="B35" s="7"/>
      <c r="C35" s="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0"/>
      <c r="S35" s="8"/>
    </row>
    <row r="36" spans="1:22" ht="33.75" customHeight="1">
      <c r="A36" s="3"/>
      <c r="B36" s="7"/>
      <c r="C36" s="6"/>
      <c r="D36" s="65" t="s">
        <v>35</v>
      </c>
      <c r="E36" s="182" t="s">
        <v>36</v>
      </c>
      <c r="F36" s="182"/>
      <c r="G36" s="182"/>
      <c r="H36" s="182" t="s">
        <v>37</v>
      </c>
      <c r="I36" s="182"/>
      <c r="J36" s="182"/>
      <c r="K36" s="182" t="s">
        <v>35</v>
      </c>
      <c r="L36" s="182"/>
      <c r="M36" s="182" t="s">
        <v>36</v>
      </c>
      <c r="N36" s="182"/>
      <c r="O36" s="182" t="s">
        <v>37</v>
      </c>
      <c r="P36" s="182"/>
      <c r="Q36" s="182"/>
      <c r="R36" s="10"/>
      <c r="S36" s="8"/>
    </row>
    <row r="37" spans="1:22" ht="37.5" customHeight="1">
      <c r="A37" s="3"/>
      <c r="B37" s="7"/>
      <c r="C37" s="6"/>
      <c r="D37" s="55" t="s">
        <v>17</v>
      </c>
      <c r="E37" s="185" t="str">
        <f>E10</f>
        <v xml:space="preserve">احمد جامی </v>
      </c>
      <c r="F37" s="185"/>
      <c r="G37" s="185"/>
      <c r="H37" s="185"/>
      <c r="I37" s="185"/>
      <c r="J37" s="185"/>
      <c r="K37" s="184" t="s">
        <v>77</v>
      </c>
      <c r="L37" s="184"/>
      <c r="M37" s="216" t="s">
        <v>75</v>
      </c>
      <c r="N37" s="217"/>
      <c r="O37" s="185"/>
      <c r="P37" s="185"/>
      <c r="Q37" s="185"/>
      <c r="R37" s="10"/>
      <c r="S37" s="8"/>
    </row>
    <row r="38" spans="1:22" ht="37.5" customHeight="1">
      <c r="A38" s="3"/>
      <c r="B38" s="7"/>
      <c r="C38" s="6"/>
      <c r="D38" s="55" t="s">
        <v>38</v>
      </c>
      <c r="E38" s="185" t="s">
        <v>57</v>
      </c>
      <c r="F38" s="185"/>
      <c r="G38" s="185"/>
      <c r="H38" s="185"/>
      <c r="I38" s="185"/>
      <c r="J38" s="185"/>
      <c r="K38" s="214" t="s">
        <v>106</v>
      </c>
      <c r="L38" s="215"/>
      <c r="M38" s="216" t="s">
        <v>293</v>
      </c>
      <c r="N38" s="217"/>
      <c r="O38" s="185"/>
      <c r="P38" s="185"/>
      <c r="Q38" s="185"/>
      <c r="R38" s="10"/>
      <c r="S38" s="8"/>
    </row>
    <row r="39" spans="1:22" ht="37.5" customHeight="1">
      <c r="A39" s="3"/>
      <c r="B39" s="7"/>
      <c r="C39" s="6"/>
      <c r="D39" s="55" t="s">
        <v>39</v>
      </c>
      <c r="E39" s="185" t="s">
        <v>291</v>
      </c>
      <c r="F39" s="185"/>
      <c r="G39" s="185"/>
      <c r="H39" s="185"/>
      <c r="I39" s="185"/>
      <c r="J39" s="185"/>
      <c r="K39" s="184" t="s">
        <v>40</v>
      </c>
      <c r="L39" s="184"/>
      <c r="M39" s="185" t="s">
        <v>294</v>
      </c>
      <c r="N39" s="185"/>
      <c r="O39" s="185"/>
      <c r="P39" s="185"/>
      <c r="Q39" s="185"/>
      <c r="R39" s="10"/>
      <c r="S39" s="8"/>
    </row>
    <row r="40" spans="1:22" ht="37.5" customHeight="1" thickBot="1">
      <c r="A40" s="3"/>
      <c r="B40" s="7"/>
      <c r="C40" s="6"/>
      <c r="D40" s="116" t="s">
        <v>74</v>
      </c>
      <c r="E40" s="213" t="s">
        <v>292</v>
      </c>
      <c r="F40" s="213"/>
      <c r="G40" s="213"/>
      <c r="H40" s="213"/>
      <c r="I40" s="213"/>
      <c r="J40" s="213"/>
      <c r="K40" s="199" t="s">
        <v>41</v>
      </c>
      <c r="L40" s="199"/>
      <c r="M40" s="213" t="s">
        <v>295</v>
      </c>
      <c r="N40" s="213"/>
      <c r="O40" s="213"/>
      <c r="P40" s="213"/>
      <c r="Q40" s="213"/>
      <c r="R40" s="10"/>
      <c r="S40" s="8"/>
    </row>
    <row r="41" spans="1:22" ht="7.5" customHeight="1" thickBot="1">
      <c r="A41" s="3"/>
      <c r="B41" s="7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  <c r="S41" s="8"/>
    </row>
    <row r="42" spans="1:22" ht="24" customHeight="1">
      <c r="A42" s="3"/>
      <c r="B42" s="7"/>
      <c r="C42" s="7"/>
      <c r="D42" s="70" t="s">
        <v>59</v>
      </c>
      <c r="E42" s="70"/>
      <c r="F42" s="70" t="s">
        <v>60</v>
      </c>
      <c r="G42" s="70"/>
      <c r="H42" s="70"/>
      <c r="I42" s="70"/>
      <c r="J42" s="70"/>
      <c r="K42" s="70"/>
      <c r="L42" s="70" t="s">
        <v>61</v>
      </c>
      <c r="M42" s="70"/>
      <c r="N42" s="70"/>
      <c r="O42" s="70" t="s">
        <v>62</v>
      </c>
      <c r="P42" s="70"/>
      <c r="Q42" s="7"/>
      <c r="R42" s="8"/>
      <c r="S42" s="8"/>
    </row>
    <row r="43" spans="1:22" ht="22.5" customHeight="1">
      <c r="A43" s="3"/>
      <c r="B43" s="7"/>
      <c r="C43" s="7"/>
      <c r="D43" s="70" t="s">
        <v>59</v>
      </c>
      <c r="E43" s="70"/>
      <c r="F43" s="70" t="s">
        <v>60</v>
      </c>
      <c r="G43" s="70"/>
      <c r="H43" s="70"/>
      <c r="I43" s="70"/>
      <c r="J43" s="70"/>
      <c r="K43" s="70"/>
      <c r="L43" s="70" t="s">
        <v>61</v>
      </c>
      <c r="M43" s="70"/>
      <c r="N43" s="70"/>
      <c r="O43" s="70" t="s">
        <v>62</v>
      </c>
      <c r="P43" s="70"/>
      <c r="Q43" s="7"/>
      <c r="R43" s="8"/>
      <c r="S43" s="8"/>
    </row>
    <row r="44" spans="1:22" ht="22.5" customHeight="1">
      <c r="A44" s="3"/>
      <c r="B44" s="7"/>
      <c r="C44" s="7"/>
      <c r="D44" s="70" t="s">
        <v>59</v>
      </c>
      <c r="E44" s="70"/>
      <c r="F44" s="70" t="s">
        <v>60</v>
      </c>
      <c r="G44" s="70"/>
      <c r="H44" s="70"/>
      <c r="I44" s="70"/>
      <c r="J44" s="70"/>
      <c r="K44" s="70"/>
      <c r="L44" s="70" t="s">
        <v>61</v>
      </c>
      <c r="M44" s="70"/>
      <c r="N44" s="70"/>
      <c r="O44" s="70" t="s">
        <v>62</v>
      </c>
      <c r="P44" s="70"/>
      <c r="Q44" s="7"/>
      <c r="R44" s="8"/>
      <c r="S44" s="8"/>
    </row>
    <row r="45" spans="1:22" ht="22.5" customHeight="1">
      <c r="A45" s="3"/>
      <c r="B45" s="7"/>
      <c r="C45" s="7"/>
      <c r="D45" s="70" t="s">
        <v>59</v>
      </c>
      <c r="E45" s="70"/>
      <c r="F45" s="70" t="s">
        <v>60</v>
      </c>
      <c r="G45" s="70"/>
      <c r="H45" s="70"/>
      <c r="I45" s="70"/>
      <c r="J45" s="70"/>
      <c r="K45" s="70"/>
      <c r="L45" s="70" t="s">
        <v>61</v>
      </c>
      <c r="M45" s="70"/>
      <c r="N45" s="70"/>
      <c r="O45" s="70" t="s">
        <v>62</v>
      </c>
      <c r="P45" s="70"/>
      <c r="Q45" s="7"/>
      <c r="R45" s="8"/>
      <c r="S45" s="8"/>
    </row>
    <row r="46" spans="1:22" ht="22.5">
      <c r="A46" s="3"/>
      <c r="B46" s="7"/>
      <c r="C46" s="3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3"/>
    </row>
    <row r="47" spans="1:22" ht="22.5">
      <c r="A47" s="3"/>
      <c r="B47" s="7"/>
      <c r="C47" s="3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3"/>
    </row>
    <row r="48" spans="1:22" ht="22.5">
      <c r="A48" s="3"/>
      <c r="B48" s="7"/>
      <c r="C48" s="3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3"/>
    </row>
    <row r="49" spans="1:17" ht="22.5">
      <c r="A49" s="3"/>
      <c r="B49" s="7"/>
      <c r="C49" s="3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3"/>
    </row>
    <row r="50" spans="1:17" ht="22.5">
      <c r="A50" s="3"/>
      <c r="B50" s="7"/>
      <c r="C50" s="3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3"/>
    </row>
    <row r="51" spans="1:17" ht="22.5">
      <c r="A51" s="3"/>
      <c r="B51" s="7"/>
      <c r="C51" s="3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3"/>
    </row>
    <row r="52" spans="1:17" ht="22.5">
      <c r="A52" s="3"/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22.5">
      <c r="A53" s="3"/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22.5">
      <c r="A54" s="3"/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22.5">
      <c r="A55" s="3"/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22.5">
      <c r="A56" s="3"/>
      <c r="B56" s="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22.5">
      <c r="A57" s="3"/>
      <c r="B57" s="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22.5">
      <c r="A58" s="3"/>
      <c r="B58" s="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22.5">
      <c r="A59" s="3"/>
      <c r="B59" s="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22.5">
      <c r="A60" s="3"/>
      <c r="B60" s="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22.5">
      <c r="A61" s="3"/>
      <c r="B61" s="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22.5">
      <c r="A62" s="3"/>
      <c r="B62" s="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22.5">
      <c r="A63" s="3"/>
      <c r="B63" s="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22.5">
      <c r="A64" s="3"/>
      <c r="B64" s="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22.5">
      <c r="A65" s="3"/>
      <c r="B65" s="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22.5">
      <c r="A66" s="3"/>
      <c r="B66" s="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22.5">
      <c r="A67" s="3"/>
      <c r="B67" s="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22.5">
      <c r="A68" s="3"/>
      <c r="B68" s="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22.5">
      <c r="A69" s="3"/>
      <c r="B69" s="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22.5">
      <c r="A70" s="3"/>
      <c r="B70" s="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22.5">
      <c r="A71" s="3"/>
      <c r="B71" s="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22.5">
      <c r="A72" s="3"/>
      <c r="B72" s="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22.5">
      <c r="A73" s="3"/>
      <c r="B73" s="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22.5">
      <c r="A74" s="3"/>
      <c r="B74" s="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22.5">
      <c r="A75" s="3"/>
      <c r="B75" s="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22.5">
      <c r="A76" s="3"/>
      <c r="B76" s="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8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8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8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8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8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8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8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8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8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8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8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8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8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8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8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8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8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8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8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8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8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8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8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8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8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8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8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8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8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8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8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8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8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8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8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8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8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8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8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8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8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8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8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8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8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8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8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8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8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8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8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8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8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8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8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8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8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8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8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8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8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8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8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8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8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8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8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8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8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8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8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8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8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8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8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8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8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8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8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8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8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8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8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8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8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8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8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8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8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8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</sheetData>
  <mergeCells count="78">
    <mergeCell ref="O36:Q36"/>
    <mergeCell ref="O37:Q37"/>
    <mergeCell ref="O38:Q38"/>
    <mergeCell ref="O39:Q39"/>
    <mergeCell ref="O40:Q40"/>
    <mergeCell ref="M40:N40"/>
    <mergeCell ref="M39:N39"/>
    <mergeCell ref="M36:N36"/>
    <mergeCell ref="K36:L36"/>
    <mergeCell ref="K39:L39"/>
    <mergeCell ref="K40:L40"/>
    <mergeCell ref="K38:L38"/>
    <mergeCell ref="M38:N38"/>
    <mergeCell ref="K37:L37"/>
    <mergeCell ref="M37:N37"/>
    <mergeCell ref="E37:G37"/>
    <mergeCell ref="E38:G38"/>
    <mergeCell ref="E39:G39"/>
    <mergeCell ref="E40:G40"/>
    <mergeCell ref="H37:J37"/>
    <mergeCell ref="H38:J38"/>
    <mergeCell ref="H39:J39"/>
    <mergeCell ref="H40:J40"/>
    <mergeCell ref="L23:N23"/>
    <mergeCell ref="L24:N24"/>
    <mergeCell ref="L25:N25"/>
    <mergeCell ref="L26:N26"/>
    <mergeCell ref="L27:N27"/>
    <mergeCell ref="F3:M3"/>
    <mergeCell ref="F4:M4"/>
    <mergeCell ref="F5:M5"/>
    <mergeCell ref="N4:O5"/>
    <mergeCell ref="F7:G8"/>
    <mergeCell ref="D33:D34"/>
    <mergeCell ref="E33:E34"/>
    <mergeCell ref="F33:G34"/>
    <mergeCell ref="H33:H34"/>
    <mergeCell ref="K34:Q34"/>
    <mergeCell ref="K33:P33"/>
    <mergeCell ref="D22:D29"/>
    <mergeCell ref="E23:H23"/>
    <mergeCell ref="E24:H24"/>
    <mergeCell ref="E25:H25"/>
    <mergeCell ref="E26:H26"/>
    <mergeCell ref="E27:H27"/>
    <mergeCell ref="E28:H28"/>
    <mergeCell ref="E22:H22"/>
    <mergeCell ref="E29:H29"/>
    <mergeCell ref="D7:D8"/>
    <mergeCell ref="N7:P7"/>
    <mergeCell ref="N8:P8"/>
    <mergeCell ref="E12:H12"/>
    <mergeCell ref="E13:H13"/>
    <mergeCell ref="J10:L10"/>
    <mergeCell ref="L12:M12"/>
    <mergeCell ref="L13:M13"/>
    <mergeCell ref="N12:P12"/>
    <mergeCell ref="N13:P13"/>
    <mergeCell ref="M10:P10"/>
    <mergeCell ref="E10:I10"/>
    <mergeCell ref="E11:P11"/>
    <mergeCell ref="E7:E8"/>
    <mergeCell ref="H36:J36"/>
    <mergeCell ref="E36:G36"/>
    <mergeCell ref="H7:H8"/>
    <mergeCell ref="L14:M14"/>
    <mergeCell ref="N14:P14"/>
    <mergeCell ref="L16:N16"/>
    <mergeCell ref="L20:N20"/>
    <mergeCell ref="F16:G16"/>
    <mergeCell ref="F18:G18"/>
    <mergeCell ref="F20:G20"/>
    <mergeCell ref="L18:N18"/>
    <mergeCell ref="L31:N31"/>
    <mergeCell ref="E31:H31"/>
    <mergeCell ref="L22:N22"/>
    <mergeCell ref="L28:N28"/>
    <mergeCell ref="L29:N29"/>
  </mergeCells>
  <printOptions horizontalCentered="1"/>
  <pageMargins left="0.19685039370078741" right="7.874015748031496E-2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181"/>
  <sheetViews>
    <sheetView rightToLeft="1" view="pageBreakPreview" topLeftCell="B1" zoomScale="115" zoomScaleNormal="85" zoomScaleSheetLayoutView="115" workbookViewId="0">
      <selection activeCell="B29" sqref="A29:XFD29"/>
    </sheetView>
    <sheetView rightToLeft="1" topLeftCell="B8" workbookViewId="1">
      <selection activeCell="K21" sqref="K21"/>
    </sheetView>
  </sheetViews>
  <sheetFormatPr defaultRowHeight="15"/>
  <cols>
    <col min="1" max="1" width="48.125" hidden="1" customWidth="1"/>
    <col min="2" max="3" width="1.125" customWidth="1"/>
    <col min="4" max="4" width="7.75" customWidth="1"/>
    <col min="5" max="5" width="9.375" customWidth="1"/>
    <col min="6" max="6" width="11.125" customWidth="1"/>
    <col min="7" max="7" width="5" customWidth="1"/>
    <col min="8" max="8" width="6.125" customWidth="1"/>
    <col min="9" max="9" width="6.25" customWidth="1"/>
    <col min="10" max="10" width="8.375" customWidth="1"/>
    <col min="11" max="11" width="9.375" customWidth="1"/>
    <col min="12" max="12" width="9.625" customWidth="1"/>
    <col min="13" max="13" width="3.75" customWidth="1"/>
    <col min="14" max="14" width="5.125" customWidth="1"/>
    <col min="15" max="15" width="3.625" customWidth="1"/>
    <col min="16" max="16" width="5" customWidth="1"/>
    <col min="17" max="17" width="4.375" customWidth="1"/>
    <col min="18" max="19" width="1.125" customWidth="1"/>
    <col min="21" max="21" width="16.25" customWidth="1"/>
    <col min="22" max="22" width="13.875" bestFit="1" customWidth="1"/>
    <col min="23" max="23" width="10.875" bestFit="1" customWidth="1"/>
    <col min="26" max="26" width="10.875" bestFit="1" customWidth="1"/>
    <col min="27" max="28" width="9.125" bestFit="1" customWidth="1"/>
    <col min="30" max="30" width="9.125" bestFit="1" customWidth="1"/>
    <col min="32" max="32" width="9.125" bestFit="1" customWidth="1"/>
  </cols>
  <sheetData>
    <row r="1" spans="1:23" ht="18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3" ht="9" customHeight="1" thickBo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8"/>
    </row>
    <row r="3" spans="1:23" ht="9" customHeight="1">
      <c r="B3" s="7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9"/>
      <c r="S3" s="8"/>
    </row>
    <row r="4" spans="1:23" ht="18.75" customHeight="1">
      <c r="B4" s="7"/>
      <c r="C4" s="6"/>
      <c r="D4" s="16"/>
      <c r="E4" s="14"/>
      <c r="F4" s="14"/>
      <c r="G4" s="209" t="str">
        <f>روکش!F3</f>
        <v>شرکت مهندسی و اجراءِ ژالکه</v>
      </c>
      <c r="H4" s="209"/>
      <c r="I4" s="209"/>
      <c r="J4" s="209"/>
      <c r="K4" s="209"/>
      <c r="L4" s="209"/>
      <c r="M4" s="209"/>
      <c r="N4" s="16"/>
      <c r="O4" s="16"/>
      <c r="P4" s="16"/>
      <c r="Q4" s="16"/>
      <c r="R4" s="10"/>
      <c r="S4" s="8"/>
    </row>
    <row r="5" spans="1:23" ht="18.75" customHeight="1">
      <c r="B5" s="7"/>
      <c r="C5" s="6"/>
      <c r="D5" s="16"/>
      <c r="E5" s="14"/>
      <c r="F5" s="14"/>
      <c r="G5" s="209" t="str">
        <f>روکش!F4</f>
        <v>کارگاه پروژه خلیج فارس - یزد</v>
      </c>
      <c r="H5" s="209"/>
      <c r="I5" s="209"/>
      <c r="J5" s="209"/>
      <c r="K5" s="209"/>
      <c r="L5" s="209"/>
      <c r="M5" s="209"/>
      <c r="N5" s="230" t="s">
        <v>13</v>
      </c>
      <c r="O5" s="231"/>
      <c r="P5" s="15" t="s">
        <v>14</v>
      </c>
      <c r="Q5" s="17" t="str">
        <f>روکش!Q4</f>
        <v>P</v>
      </c>
      <c r="R5" s="10"/>
      <c r="S5" s="8"/>
    </row>
    <row r="6" spans="1:23" ht="18.75" customHeight="1">
      <c r="B6" s="7"/>
      <c r="C6" s="6"/>
      <c r="D6" s="16"/>
      <c r="E6" s="14"/>
      <c r="F6" s="14"/>
      <c r="G6" s="209" t="s">
        <v>51</v>
      </c>
      <c r="H6" s="209"/>
      <c r="I6" s="209"/>
      <c r="J6" s="209"/>
      <c r="K6" s="209"/>
      <c r="L6" s="209"/>
      <c r="M6" s="209"/>
      <c r="N6" s="230"/>
      <c r="O6" s="231"/>
      <c r="P6" s="15" t="s">
        <v>15</v>
      </c>
      <c r="Q6" s="17" t="str">
        <f>روکش!Q5</f>
        <v>O</v>
      </c>
      <c r="R6" s="10"/>
      <c r="S6" s="8"/>
    </row>
    <row r="7" spans="1:23" ht="3.75" customHeight="1">
      <c r="B7" s="7"/>
      <c r="C7" s="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0"/>
      <c r="S7" s="8"/>
    </row>
    <row r="8" spans="1:23" ht="20.25" customHeight="1">
      <c r="B8" s="7"/>
      <c r="C8" s="6"/>
      <c r="D8" s="233" t="s">
        <v>44</v>
      </c>
      <c r="E8" s="233"/>
      <c r="F8" s="69" t="str">
        <f>روکش!E10</f>
        <v xml:space="preserve">احمد جامی </v>
      </c>
      <c r="G8" s="233" t="s">
        <v>45</v>
      </c>
      <c r="H8" s="233"/>
      <c r="I8" s="54">
        <f>روکش!H7</f>
        <v>1</v>
      </c>
      <c r="J8" s="232" t="s">
        <v>46</v>
      </c>
      <c r="K8" s="232"/>
      <c r="L8" s="183" t="str">
        <f>روکش!N8</f>
        <v>1398/04/26</v>
      </c>
      <c r="M8" s="183"/>
      <c r="N8" s="232" t="s">
        <v>47</v>
      </c>
      <c r="O8" s="232"/>
      <c r="P8" s="232"/>
      <c r="Q8" s="232"/>
      <c r="R8" s="10"/>
      <c r="S8" s="8"/>
    </row>
    <row r="9" spans="1:23" ht="3.75" customHeight="1">
      <c r="B9" s="7"/>
      <c r="C9" s="6"/>
      <c r="R9" s="10"/>
      <c r="S9" s="8"/>
    </row>
    <row r="10" spans="1:23" ht="30.75" customHeight="1">
      <c r="B10" s="7"/>
      <c r="C10" s="6"/>
      <c r="D10" s="29" t="s">
        <v>343</v>
      </c>
      <c r="E10" s="234" t="s">
        <v>4</v>
      </c>
      <c r="F10" s="235"/>
      <c r="G10" s="236"/>
      <c r="H10" s="29" t="s">
        <v>48</v>
      </c>
      <c r="I10" s="29" t="s">
        <v>1</v>
      </c>
      <c r="J10" s="30" t="s">
        <v>63</v>
      </c>
      <c r="K10" s="90" t="s">
        <v>64</v>
      </c>
      <c r="L10" s="30" t="s">
        <v>55</v>
      </c>
      <c r="M10" s="237" t="s">
        <v>49</v>
      </c>
      <c r="N10" s="237"/>
      <c r="O10" s="238" t="s">
        <v>50</v>
      </c>
      <c r="P10" s="239"/>
      <c r="Q10" s="240"/>
      <c r="R10" s="10"/>
      <c r="S10" s="8"/>
    </row>
    <row r="11" spans="1:23" ht="39" customHeight="1">
      <c r="A11" t="str">
        <f t="shared" ref="A11:A26" si="0">"جمع "&amp;E11</f>
        <v>جمع بستن داربست به صورت اجرتی چهارپایه متحرک (چرخدار) و ثابت</v>
      </c>
      <c r="B11" s="7"/>
      <c r="C11" s="6"/>
      <c r="D11" s="40">
        <v>1</v>
      </c>
      <c r="E11" s="229" t="s">
        <v>442</v>
      </c>
      <c r="F11" s="229"/>
      <c r="G11" s="229"/>
      <c r="H11" s="28"/>
      <c r="I11" s="41" t="str">
        <f>+VLOOKUP(D11,'94.04.22'!C9:G26,4,)</f>
        <v>عدد</v>
      </c>
      <c r="J11" s="26">
        <v>0</v>
      </c>
      <c r="K11" s="26">
        <f>ریزمتره1!P15</f>
        <v>4</v>
      </c>
      <c r="L11" s="26">
        <f>IFERROR(K11+J11,"")</f>
        <v>4</v>
      </c>
      <c r="M11" s="195">
        <v>900000</v>
      </c>
      <c r="N11" s="195"/>
      <c r="O11" s="195">
        <f>IFERROR(ROUND(M11*L11,0),"")</f>
        <v>3600000</v>
      </c>
      <c r="P11" s="195"/>
      <c r="Q11" s="195"/>
      <c r="R11" s="10"/>
      <c r="S11" s="8"/>
      <c r="W11" s="27"/>
    </row>
    <row r="12" spans="1:23" ht="39" customHeight="1">
      <c r="A12" t="str">
        <f t="shared" si="0"/>
        <v>جمع  داربست به صورت چهارپایه متحرک(چرخدار) و ثابت به همراه لوله و اجرت نصب</v>
      </c>
      <c r="B12" s="7"/>
      <c r="C12" s="6"/>
      <c r="D12" s="43">
        <v>2</v>
      </c>
      <c r="E12" s="229" t="s">
        <v>426</v>
      </c>
      <c r="F12" s="229"/>
      <c r="G12" s="229"/>
      <c r="H12" s="28"/>
      <c r="I12" s="143" t="s">
        <v>102</v>
      </c>
      <c r="J12" s="26">
        <v>0</v>
      </c>
      <c r="K12" s="26">
        <f>ریزمتره1!P32</f>
        <v>15</v>
      </c>
      <c r="L12" s="26">
        <f t="shared" ref="L12:L18" si="1">IFERROR(K12+J12,"")</f>
        <v>15</v>
      </c>
      <c r="M12" s="195">
        <v>1800000</v>
      </c>
      <c r="N12" s="195"/>
      <c r="O12" s="195">
        <f t="shared" ref="O12:O21" si="2">IFERROR(ROUND(M12*L12,0),"")</f>
        <v>27000000</v>
      </c>
      <c r="P12" s="195"/>
      <c r="Q12" s="195"/>
      <c r="R12" s="10"/>
      <c r="S12" s="8"/>
      <c r="W12" s="27"/>
    </row>
    <row r="13" spans="1:23" ht="39" hidden="1" customHeight="1">
      <c r="A13" t="str">
        <f t="shared" si="0"/>
        <v xml:space="preserve">جمع </v>
      </c>
      <c r="B13" s="7"/>
      <c r="C13" s="6"/>
      <c r="D13" s="140">
        <v>3</v>
      </c>
      <c r="E13" s="229"/>
      <c r="F13" s="229"/>
      <c r="G13" s="229"/>
      <c r="H13" s="28"/>
      <c r="I13" s="143" t="str">
        <f>+VLOOKUP(D13,'94.04.22'!C11:G28,4,)</f>
        <v>کیلوگرم</v>
      </c>
      <c r="J13" s="26">
        <v>0</v>
      </c>
      <c r="K13" s="26" t="e">
        <f>+VLOOKUP(H13,ریزمتره1!$B$11:$R$72,15,)</f>
        <v>#N/A</v>
      </c>
      <c r="L13" s="26" t="str">
        <f t="shared" si="1"/>
        <v/>
      </c>
      <c r="M13" s="195">
        <f>+VLOOKUP(D13,'94.04.22'!C11:G28,5,)</f>
        <v>20000</v>
      </c>
      <c r="N13" s="195"/>
      <c r="O13" s="195" t="str">
        <f t="shared" si="2"/>
        <v/>
      </c>
      <c r="P13" s="195"/>
      <c r="Q13" s="195"/>
      <c r="R13" s="10"/>
      <c r="S13" s="8"/>
      <c r="W13" s="27"/>
    </row>
    <row r="14" spans="1:23" ht="39" customHeight="1">
      <c r="A14" t="str">
        <f>"جمع "&amp;E14</f>
        <v>جمع بستن داربست به صورت اجرتی ثابت زیر صدمتر / کفراژ و نمایی</v>
      </c>
      <c r="B14" s="7"/>
      <c r="C14" s="6"/>
      <c r="D14" s="140">
        <v>4</v>
      </c>
      <c r="E14" s="229" t="s">
        <v>438</v>
      </c>
      <c r="F14" s="229"/>
      <c r="G14" s="229"/>
      <c r="H14" s="28"/>
      <c r="I14" s="143" t="s">
        <v>102</v>
      </c>
      <c r="J14" s="26">
        <v>0</v>
      </c>
      <c r="K14" s="26">
        <f>ریزمتره1!P49</f>
        <v>11</v>
      </c>
      <c r="L14" s="26">
        <f t="shared" si="1"/>
        <v>11</v>
      </c>
      <c r="M14" s="195">
        <v>900000</v>
      </c>
      <c r="N14" s="195"/>
      <c r="O14" s="195">
        <f t="shared" si="2"/>
        <v>9900000</v>
      </c>
      <c r="P14" s="195"/>
      <c r="Q14" s="195"/>
      <c r="R14" s="10"/>
      <c r="S14" s="8"/>
      <c r="V14" s="27"/>
    </row>
    <row r="15" spans="1:23" ht="39" customHeight="1">
      <c r="A15" t="str">
        <f t="shared" si="0"/>
        <v>جمع باز کردن داربست به صورت اجرتی ثابت زیر صد متر /کفراژ نمایی</v>
      </c>
      <c r="B15" s="7"/>
      <c r="C15" s="6"/>
      <c r="D15" s="140">
        <v>5</v>
      </c>
      <c r="E15" s="229" t="s">
        <v>445</v>
      </c>
      <c r="F15" s="229"/>
      <c r="G15" s="229"/>
      <c r="H15" s="28"/>
      <c r="I15" s="143" t="s">
        <v>102</v>
      </c>
      <c r="J15" s="26">
        <v>0</v>
      </c>
      <c r="K15" s="26">
        <f>ریزمتره1!P64</f>
        <v>5</v>
      </c>
      <c r="L15" s="26">
        <f t="shared" si="1"/>
        <v>5</v>
      </c>
      <c r="M15" s="195">
        <v>500000</v>
      </c>
      <c r="N15" s="195"/>
      <c r="O15" s="195">
        <f t="shared" si="2"/>
        <v>2500000</v>
      </c>
      <c r="P15" s="195"/>
      <c r="Q15" s="195"/>
      <c r="R15" s="10"/>
      <c r="S15" s="8"/>
      <c r="U15" s="27"/>
      <c r="V15" s="33"/>
      <c r="W15" s="34"/>
    </row>
    <row r="16" spans="1:23" ht="39" hidden="1" customHeight="1">
      <c r="A16" t="str">
        <f t="shared" si="0"/>
        <v xml:space="preserve">جمع </v>
      </c>
      <c r="B16" s="7"/>
      <c r="C16" s="6"/>
      <c r="D16" s="140">
        <v>6</v>
      </c>
      <c r="E16" s="229"/>
      <c r="F16" s="229"/>
      <c r="G16" s="229"/>
      <c r="H16" s="89" t="s">
        <v>290</v>
      </c>
      <c r="I16" s="143" t="str">
        <f>+VLOOKUP(D16,'94.04.22'!C14:G31,4,)</f>
        <v>عدد</v>
      </c>
      <c r="J16" s="26">
        <v>0</v>
      </c>
      <c r="K16" s="26">
        <v>0</v>
      </c>
      <c r="L16" s="26">
        <f>IFERROR(K16+J16,"")</f>
        <v>0</v>
      </c>
      <c r="M16" s="195">
        <f>+VLOOKUP(D16,'94.04.22'!C15:G32,5,)</f>
        <v>10000</v>
      </c>
      <c r="N16" s="195"/>
      <c r="O16" s="195">
        <f t="shared" ref="O16:O20" si="3">IFERROR(ROUND(M16*L16,0),"")</f>
        <v>0</v>
      </c>
      <c r="P16" s="195"/>
      <c r="Q16" s="195"/>
      <c r="R16" s="10"/>
      <c r="S16" s="8"/>
    </row>
    <row r="17" spans="1:22" ht="39" hidden="1" customHeight="1">
      <c r="A17" t="str">
        <f t="shared" si="0"/>
        <v xml:space="preserve">جمع </v>
      </c>
      <c r="B17" s="7"/>
      <c r="C17" s="6"/>
      <c r="D17" s="140">
        <v>7</v>
      </c>
      <c r="E17" s="229"/>
      <c r="F17" s="229"/>
      <c r="G17" s="229"/>
      <c r="H17" s="89" t="s">
        <v>290</v>
      </c>
      <c r="I17" s="143" t="str">
        <f>+VLOOKUP(D17,'94.04.22'!C15:G32,4,)</f>
        <v>نفر/روز</v>
      </c>
      <c r="J17" s="26">
        <v>0</v>
      </c>
      <c r="K17" s="26">
        <v>0</v>
      </c>
      <c r="L17" s="26">
        <f t="shared" si="1"/>
        <v>0</v>
      </c>
      <c r="M17" s="195">
        <f>+VLOOKUP(D17,'94.04.22'!C16:G33,5,)</f>
        <v>1500000</v>
      </c>
      <c r="N17" s="195"/>
      <c r="O17" s="195">
        <f t="shared" si="3"/>
        <v>0</v>
      </c>
      <c r="P17" s="195"/>
      <c r="Q17" s="195"/>
      <c r="R17" s="10"/>
      <c r="S17" s="8"/>
    </row>
    <row r="18" spans="1:22" ht="39" hidden="1" customHeight="1">
      <c r="A18" t="str">
        <f t="shared" si="0"/>
        <v xml:space="preserve">جمع </v>
      </c>
      <c r="B18" s="7"/>
      <c r="C18" s="6"/>
      <c r="D18" s="140">
        <v>8</v>
      </c>
      <c r="E18" s="229"/>
      <c r="F18" s="229"/>
      <c r="G18" s="229"/>
      <c r="H18" s="89" t="s">
        <v>290</v>
      </c>
      <c r="I18" s="143" t="str">
        <f>+VLOOKUP(D18,'94.04.22'!C16:G33,4,)</f>
        <v>نفر/روز</v>
      </c>
      <c r="J18" s="26">
        <v>0</v>
      </c>
      <c r="K18" s="26">
        <v>0</v>
      </c>
      <c r="L18" s="26">
        <f t="shared" si="1"/>
        <v>0</v>
      </c>
      <c r="M18" s="195">
        <f>+VLOOKUP(D18,'94.04.22'!C17:G34,5,)</f>
        <v>1000000</v>
      </c>
      <c r="N18" s="195"/>
      <c r="O18" s="195">
        <f t="shared" si="3"/>
        <v>0</v>
      </c>
      <c r="P18" s="195"/>
      <c r="Q18" s="195"/>
      <c r="R18" s="10"/>
      <c r="S18" s="8"/>
    </row>
    <row r="19" spans="1:22" ht="39" hidden="1" customHeight="1" thickBot="1">
      <c r="A19" t="str">
        <f t="shared" ref="A19" si="4">"جمع "&amp;E19</f>
        <v xml:space="preserve">جمع </v>
      </c>
      <c r="B19" s="7"/>
      <c r="C19" s="6"/>
      <c r="D19" s="140">
        <v>9</v>
      </c>
      <c r="E19" s="229"/>
      <c r="F19" s="229"/>
      <c r="G19" s="229"/>
      <c r="H19" s="89" t="s">
        <v>290</v>
      </c>
      <c r="I19" s="143" t="str">
        <f>+VLOOKUP(D19,'94.04.22'!C17:G34,4,)</f>
        <v>نفر/روز</v>
      </c>
      <c r="J19" s="26">
        <v>0</v>
      </c>
      <c r="K19" s="26">
        <v>0</v>
      </c>
      <c r="L19" s="26">
        <f t="shared" ref="L19:L20" si="5">IFERROR(K19+J19,"")</f>
        <v>0</v>
      </c>
      <c r="M19" s="195">
        <f>+VLOOKUP(D19,'94.04.22'!C18:G35,5,)</f>
        <v>700000</v>
      </c>
      <c r="N19" s="195"/>
      <c r="O19" s="195">
        <f t="shared" si="3"/>
        <v>0</v>
      </c>
      <c r="P19" s="195"/>
      <c r="Q19" s="195"/>
      <c r="R19" s="10"/>
      <c r="S19" s="8"/>
    </row>
    <row r="20" spans="1:22" ht="39" customHeight="1">
      <c r="B20" s="7"/>
      <c r="C20" s="6"/>
      <c r="D20" s="140">
        <v>6</v>
      </c>
      <c r="E20" s="218" t="s">
        <v>457</v>
      </c>
      <c r="F20" s="219"/>
      <c r="G20" s="220"/>
      <c r="H20" s="181"/>
      <c r="I20" s="143" t="s">
        <v>102</v>
      </c>
      <c r="J20" s="123">
        <v>0</v>
      </c>
      <c r="K20" s="123">
        <v>1</v>
      </c>
      <c r="L20" s="123">
        <f t="shared" si="5"/>
        <v>1</v>
      </c>
      <c r="M20" s="221">
        <v>1800000</v>
      </c>
      <c r="N20" s="222"/>
      <c r="O20" s="195">
        <f t="shared" si="3"/>
        <v>1800000</v>
      </c>
      <c r="P20" s="195"/>
      <c r="Q20" s="195"/>
      <c r="R20" s="10"/>
      <c r="S20" s="8"/>
    </row>
    <row r="21" spans="1:22" ht="39" customHeight="1">
      <c r="A21" t="str">
        <f t="shared" si="0"/>
        <v>جمع داربست به صورت چاله آسانسور توافقی</v>
      </c>
      <c r="B21" s="7"/>
      <c r="C21" s="6"/>
      <c r="D21" s="140">
        <v>7</v>
      </c>
      <c r="E21" s="243" t="s">
        <v>455</v>
      </c>
      <c r="F21" s="243"/>
      <c r="G21" s="243"/>
      <c r="H21" s="121" t="s">
        <v>399</v>
      </c>
      <c r="I21" s="122" t="s">
        <v>458</v>
      </c>
      <c r="J21" s="123">
        <v>0</v>
      </c>
      <c r="K21" s="123">
        <f>ریزمتره1!P86</f>
        <v>1</v>
      </c>
      <c r="L21" s="123">
        <f t="shared" ref="L21:L26" si="6">IFERROR(K21+J21,"")</f>
        <v>1</v>
      </c>
      <c r="M21" s="244">
        <v>23000000</v>
      </c>
      <c r="N21" s="242"/>
      <c r="O21" s="242">
        <f t="shared" si="2"/>
        <v>23000000</v>
      </c>
      <c r="P21" s="242"/>
      <c r="Q21" s="242"/>
      <c r="R21" s="10"/>
      <c r="S21" s="8"/>
    </row>
    <row r="22" spans="1:22" ht="39" customHeight="1" thickBot="1">
      <c r="B22" s="7"/>
      <c r="C22" s="6"/>
      <c r="D22" s="120"/>
      <c r="E22" s="223"/>
      <c r="F22" s="224"/>
      <c r="G22" s="225"/>
      <c r="H22" s="121"/>
      <c r="I22" s="142"/>
      <c r="J22" s="123"/>
      <c r="K22" s="123"/>
      <c r="L22" s="123"/>
      <c r="M22" s="226"/>
      <c r="N22" s="227"/>
      <c r="O22" s="221"/>
      <c r="P22" s="228"/>
      <c r="Q22" s="222"/>
      <c r="R22" s="10"/>
      <c r="S22" s="8"/>
    </row>
    <row r="23" spans="1:22" ht="39" customHeight="1">
      <c r="A23" t="str">
        <f t="shared" si="0"/>
        <v xml:space="preserve">جمع  </v>
      </c>
      <c r="B23" s="7"/>
      <c r="C23" s="6"/>
      <c r="D23" s="141">
        <v>12</v>
      </c>
      <c r="E23" s="245" t="str">
        <f>IFERROR(VLOOKUP(D23,ریزمتره1!$B$11:$R$93,2,FALSE)," ")</f>
        <v xml:space="preserve"> </v>
      </c>
      <c r="F23" s="245"/>
      <c r="G23" s="245"/>
      <c r="H23" s="92"/>
      <c r="I23" s="93" t="str">
        <f>IFERROR(VLOOKUP(D23,#REF!,15,FALSE),"")</f>
        <v/>
      </c>
      <c r="J23" s="94"/>
      <c r="K23" s="94" t="str">
        <f>IFERROR(VLOOKUP(A23,#REF!,11,),"  ")</f>
        <v xml:space="preserve">  </v>
      </c>
      <c r="L23" s="94" t="str">
        <f t="shared" si="6"/>
        <v/>
      </c>
      <c r="M23" s="246"/>
      <c r="N23" s="246"/>
      <c r="O23" s="241" t="str">
        <f t="shared" ref="O23:O26" si="7">IFERROR(ROUND(M23*L23,0),"")</f>
        <v/>
      </c>
      <c r="P23" s="241"/>
      <c r="Q23" s="241"/>
      <c r="R23" s="10"/>
      <c r="S23" s="8"/>
    </row>
    <row r="24" spans="1:22" ht="39" customHeight="1">
      <c r="A24" t="str">
        <f t="shared" si="0"/>
        <v xml:space="preserve">جمع  </v>
      </c>
      <c r="B24" s="7"/>
      <c r="C24" s="6"/>
      <c r="D24" s="43">
        <v>13</v>
      </c>
      <c r="E24" s="229" t="str">
        <f>IFERROR(VLOOKUP(D24,ریزمتره1!$B$11:$R$93,2,FALSE)," ")</f>
        <v xml:space="preserve"> </v>
      </c>
      <c r="F24" s="229"/>
      <c r="G24" s="229"/>
      <c r="H24" s="39"/>
      <c r="I24" s="36" t="str">
        <f>IFERROR(VLOOKUP(D24,#REF!,15,FALSE),"")</f>
        <v/>
      </c>
      <c r="J24" s="26"/>
      <c r="K24" s="26" t="str">
        <f>IFERROR(VLOOKUP(A24,#REF!,11,),"  ")</f>
        <v xml:space="preserve">  </v>
      </c>
      <c r="L24" s="26" t="str">
        <f t="shared" si="6"/>
        <v/>
      </c>
      <c r="M24" s="195"/>
      <c r="N24" s="195"/>
      <c r="O24" s="195" t="str">
        <f t="shared" si="7"/>
        <v/>
      </c>
      <c r="P24" s="195"/>
      <c r="Q24" s="195"/>
      <c r="R24" s="10"/>
      <c r="S24" s="8"/>
    </row>
    <row r="25" spans="1:22" ht="39" customHeight="1">
      <c r="A25" t="str">
        <f t="shared" si="0"/>
        <v xml:space="preserve">جمع  </v>
      </c>
      <c r="B25" s="7"/>
      <c r="C25" s="6"/>
      <c r="D25" s="43">
        <v>14</v>
      </c>
      <c r="E25" s="229" t="str">
        <f>IFERROR(VLOOKUP(D25,ریزمتره1!$B$11:$R$93,2,FALSE)," ")</f>
        <v xml:space="preserve"> </v>
      </c>
      <c r="F25" s="229"/>
      <c r="G25" s="229"/>
      <c r="H25" s="39"/>
      <c r="I25" s="36" t="str">
        <f>IFERROR(VLOOKUP(D25,#REF!,15,FALSE),"")</f>
        <v/>
      </c>
      <c r="J25" s="26"/>
      <c r="K25" s="26" t="str">
        <f>IFERROR(VLOOKUP(A25,#REF!,11,),"  ")</f>
        <v xml:space="preserve">  </v>
      </c>
      <c r="L25" s="26" t="str">
        <f t="shared" si="6"/>
        <v/>
      </c>
      <c r="M25" s="195"/>
      <c r="N25" s="195"/>
      <c r="O25" s="195" t="str">
        <f t="shared" si="7"/>
        <v/>
      </c>
      <c r="P25" s="195"/>
      <c r="Q25" s="195"/>
      <c r="R25" s="10"/>
      <c r="S25" s="8"/>
    </row>
    <row r="26" spans="1:22" ht="33" customHeight="1">
      <c r="A26" t="str">
        <f t="shared" si="0"/>
        <v xml:space="preserve">جمع  </v>
      </c>
      <c r="B26" s="7"/>
      <c r="C26" s="6"/>
      <c r="D26" s="43">
        <v>15</v>
      </c>
      <c r="E26" s="229" t="str">
        <f>IFERROR(VLOOKUP(D26,ریزمتره1!$B$11:$R$93,2,FALSE)," ")</f>
        <v xml:space="preserve"> </v>
      </c>
      <c r="F26" s="229"/>
      <c r="G26" s="229"/>
      <c r="H26" s="39"/>
      <c r="I26" s="36" t="str">
        <f>IFERROR(VLOOKUP(D26,#REF!,15,FALSE),"")</f>
        <v/>
      </c>
      <c r="J26" s="26"/>
      <c r="K26" s="26" t="str">
        <f>IFERROR(VLOOKUP(A26,#REF!,11,),"  ")</f>
        <v xml:space="preserve">  </v>
      </c>
      <c r="L26" s="26" t="str">
        <f t="shared" si="6"/>
        <v/>
      </c>
      <c r="M26" s="195"/>
      <c r="N26" s="195"/>
      <c r="O26" s="195" t="str">
        <f t="shared" si="7"/>
        <v/>
      </c>
      <c r="P26" s="195"/>
      <c r="Q26" s="195"/>
      <c r="R26" s="10"/>
      <c r="S26" s="8"/>
    </row>
    <row r="27" spans="1:22" ht="24" customHeight="1">
      <c r="B27" s="7"/>
      <c r="C27" s="6"/>
      <c r="D27" s="247" t="s">
        <v>52</v>
      </c>
      <c r="E27" s="247"/>
      <c r="F27" s="247"/>
      <c r="G27" s="18">
        <f>I8</f>
        <v>1</v>
      </c>
      <c r="H27" s="247" t="s">
        <v>53</v>
      </c>
      <c r="I27" s="247"/>
      <c r="J27" s="247"/>
      <c r="K27" s="247"/>
      <c r="L27" s="247"/>
      <c r="M27" s="247"/>
      <c r="N27" s="247"/>
      <c r="O27" s="248">
        <f>SUM(O11:Q26)</f>
        <v>67800000</v>
      </c>
      <c r="P27" s="248"/>
      <c r="Q27" s="248"/>
      <c r="R27" s="10"/>
      <c r="S27" s="8"/>
      <c r="U27">
        <v>197905500</v>
      </c>
      <c r="V27" s="27">
        <f>+O27-U27</f>
        <v>-130105500</v>
      </c>
    </row>
    <row r="28" spans="1:22" ht="24" customHeight="1">
      <c r="B28" s="7"/>
      <c r="C28" s="6"/>
      <c r="D28" s="247" t="s">
        <v>2</v>
      </c>
      <c r="E28" s="247"/>
      <c r="F28" s="247" t="str">
        <f>Z47</f>
        <v>شصت و هفت میلیون و هشتصد هزار ریال</v>
      </c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10"/>
      <c r="S28" s="8"/>
    </row>
    <row r="29" spans="1:22" ht="23.25" customHeight="1">
      <c r="B29" s="7"/>
      <c r="C29" s="6"/>
      <c r="R29" s="10"/>
      <c r="S29" s="8"/>
    </row>
    <row r="30" spans="1:22" ht="23.25" customHeight="1">
      <c r="B30" s="7"/>
      <c r="C30" s="6"/>
      <c r="R30" s="10"/>
      <c r="S30" s="8"/>
    </row>
    <row r="31" spans="1:22" ht="23.25" customHeight="1">
      <c r="B31" s="7"/>
      <c r="C31" s="6"/>
      <c r="R31" s="10"/>
      <c r="S31" s="8"/>
    </row>
    <row r="32" spans="1:22" ht="23.25" customHeight="1">
      <c r="B32" s="7"/>
      <c r="C32" s="6"/>
      <c r="R32" s="10"/>
      <c r="S32" s="8"/>
    </row>
    <row r="33" spans="2:33" ht="23.25" customHeight="1">
      <c r="B33" s="7"/>
      <c r="C33" s="6"/>
      <c r="R33" s="10"/>
      <c r="S33" s="8"/>
    </row>
    <row r="34" spans="2:33" ht="23.25" customHeight="1">
      <c r="B34" s="7"/>
      <c r="C34" s="6"/>
      <c r="R34" s="10"/>
      <c r="S34" s="8"/>
    </row>
    <row r="35" spans="2:33" ht="23.25" customHeight="1">
      <c r="B35" s="7"/>
      <c r="C35" s="6"/>
      <c r="R35" s="10"/>
      <c r="S35" s="8"/>
    </row>
    <row r="36" spans="2:33" ht="23.25" customHeight="1">
      <c r="B36" s="7"/>
      <c r="C36" s="6"/>
      <c r="R36" s="10"/>
      <c r="S36" s="8"/>
    </row>
    <row r="37" spans="2:33" ht="23.25" customHeight="1">
      <c r="B37" s="7"/>
      <c r="C37" s="6"/>
      <c r="R37" s="10"/>
      <c r="S37" s="8"/>
    </row>
    <row r="38" spans="2:33" ht="23.25" customHeight="1">
      <c r="B38" s="7"/>
      <c r="C38" s="6"/>
      <c r="R38" s="10"/>
      <c r="S38" s="8"/>
    </row>
    <row r="39" spans="2:33" ht="24.75" customHeight="1">
      <c r="B39" s="7"/>
      <c r="C39" s="6"/>
      <c r="R39" s="10"/>
      <c r="S39" s="8"/>
    </row>
    <row r="40" spans="2:33" ht="7.5" customHeight="1" thickBot="1">
      <c r="B40" s="7"/>
      <c r="C40" s="1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  <c r="S40" s="8"/>
    </row>
    <row r="41" spans="2:33" ht="7.5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  <c r="S41" s="8"/>
    </row>
    <row r="42" spans="2:33" ht="22.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2:33" ht="22.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2:33" ht="22.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2:33" ht="22.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33" ht="22.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Z46" s="1">
        <f>O27</f>
        <v>67800000</v>
      </c>
      <c r="AA46" s="2">
        <f>INT(Z46/1000000000)</f>
        <v>0</v>
      </c>
      <c r="AB46" s="2">
        <f>INT(AA46/100)</f>
        <v>0</v>
      </c>
      <c r="AC46" s="2"/>
      <c r="AD46" s="2">
        <f>INT(AA46/10)-AB46*10</f>
        <v>0</v>
      </c>
      <c r="AE46" s="2"/>
      <c r="AF46" s="2">
        <f>INT(AA46)-AD46*10-AB46*100</f>
        <v>0</v>
      </c>
      <c r="AG46" s="2" t="str">
        <f>IF(SUM(AB46:AF46)&lt;&gt;0," میلیارد","")</f>
        <v/>
      </c>
    </row>
    <row r="47" spans="2:33" ht="22.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Z47" s="19" t="str">
        <f>CONCATENATE(AB47,AC47,AD47,AE47,AF47,AG46,AG47,AB49,AC49,AD49,AE49,AF49,AG48,AG49,AB51,AC51,AD51,AE51,AF51,AG50,AG51,AB53,AC53,AD53,AE53,AF53," ریال")</f>
        <v>شصت و هفت میلیون و هشتصد هزار ریال</v>
      </c>
      <c r="AA47" s="2"/>
      <c r="AB47" s="2" t="str">
        <f>IF(AB46=9,"نهصد",IF(AB46=8,"هشتصد",IF(AB46=7,"هفتصد",IF(AB46=6,"ششصد",IF(AB46=5,"پانصد",IF(AB46=4,"چهارصد",IF(AB46=3,"سیصد",IF(AB46=2,"دویست",IF(AB46=1,"یکصد","")))))))))</f>
        <v/>
      </c>
      <c r="AC47" s="2" t="str">
        <f>IF(AND(AB46=0,AD46=0,AF46=0),"",IF(AB46=0,"",IF(AND(AD46=0,AF46=0),""," و ")))</f>
        <v/>
      </c>
      <c r="AD47" s="2" t="str">
        <f>IF(AD46=9,"نود",IF(AD46=8,"هشتاد",IF(AD46=7,"هفتاد",IF(AD46=6,"شصت",IF(AD46=5,"پنجاه",IF(AD46=4,"چهل",IF(AD46=3,"سی",IF(AD46=2,"بیست",""))))))))</f>
        <v/>
      </c>
      <c r="AE47" s="2" t="str">
        <f>IF(AF47="","",IF(AD47="",""," و "))</f>
        <v/>
      </c>
      <c r="AF47" s="2" t="str">
        <f>IF(AD46=1,(IF(AF46=9,"نوزده",IF(AF46=8,"هجده",IF(AF46=7,"هفده",IF(AF46=6,"شانزده",IF(AF46=5,"پانزده",IF(AF46=4,"چهارده",IF(AF46=3,"سیزده",IF(AF46=2,"دوازده",IF(AF46=1,"یازده","ده")))))))))),IF(AF46=9,"نه",IF(AF46=8,"هشت",IF(AF46=7,"هفت",IF(AF46=6,"شش",IF(AF46=5,"پنج",IF(AF46=4,"چهار",IF(AF46=3,"سه",IF(AF46=2,"دو",IF(AF46=1,"یک",""))))))))))</f>
        <v/>
      </c>
      <c r="AG47" s="2" t="str">
        <f>IF(AND(SUM(AB46:AF46)&lt;&gt;0,SUM(AB48:AF48)&lt;&gt;0)," و ","")</f>
        <v/>
      </c>
    </row>
    <row r="48" spans="2:33" ht="22.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Z48" s="2"/>
      <c r="AA48" s="2">
        <f>INT(Z46/1000000)-AA46*1000</f>
        <v>67</v>
      </c>
      <c r="AB48" s="2">
        <f>INT(AA48/100)</f>
        <v>0</v>
      </c>
      <c r="AC48" s="2"/>
      <c r="AD48" s="2">
        <f>INT(AA48/10)-AB48*10</f>
        <v>6</v>
      </c>
      <c r="AE48" s="2"/>
      <c r="AF48" s="2">
        <f>INT(AA48)-AD48*10-AB48*100</f>
        <v>7</v>
      </c>
      <c r="AG48" s="2" t="str">
        <f>IF(SUM(AB48:AF48)&lt;&gt;0," میلیون","")</f>
        <v xml:space="preserve"> میلیون</v>
      </c>
    </row>
    <row r="49" spans="2:33" ht="22.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Z49" s="2"/>
      <c r="AA49" s="2"/>
      <c r="AB49" s="2" t="str">
        <f>IF(AB48=9,"نهصد",IF(AB48=8,"هشتصد",IF(AB48=7,"هفتصد",IF(AB48=6,"ششصد",IF(AB48=5,"پانصد",IF(AB48=4,"چهارصد",IF(AB48=3,"سیصد",IF(AB48=2,"دویست",IF(AB48=1,"یکصد","")))))))))</f>
        <v/>
      </c>
      <c r="AC49" s="2" t="str">
        <f>IF(AND(AB48=0,AD48=0,AF48=0),"",IF(AB48=0,"",IF(AND(AD48=0,AF48=0),""," و ")))</f>
        <v/>
      </c>
      <c r="AD49" s="2" t="str">
        <f>IF(AD48=9,"نود",IF(AD48=8,"هشتاد",IF(AD48=7,"هفتاد",IF(AD48=6,"شصت",IF(AD48=5,"پنجاه",IF(AD48=4,"چهل",IF(AD48=3,"سی",IF(AD48=2,"بیست",""))))))))</f>
        <v>شصت</v>
      </c>
      <c r="AE49" s="2" t="str">
        <f>IF(AF49="","",IF(AD49="",""," و "))</f>
        <v xml:space="preserve"> و </v>
      </c>
      <c r="AF49" s="2" t="str">
        <f>IF(AD48=1,(IF(AF48=9,"نوزده",IF(AF48=8,"هجده",IF(AF48=7,"هفده",IF(AF48=6,"شانزده",IF(AF48=5,"پانزده",IF(AF48=4,"چهارده",IF(AF48=3,"سیزده",IF(AF48=2,"دوازده",IF(AF48=1,"یازده","ده")))))))))),IF(AF48=9,"نه",IF(AF48=8,"هشت",IF(AF48=7,"هفت",IF(AF48=6,"شش",IF(AF48=5,"پنج",IF(AF48=4,"چهار",IF(AF48=3,"سه",IF(AF48=2,"دو",IF(AF48=1,"یک",""))))))))))</f>
        <v>هفت</v>
      </c>
      <c r="AG49" s="2" t="str">
        <f>IF(AND(SUM(AB48:AF48)&lt;&gt;0,SUM(AB50:AF50)&lt;&gt;0)," و ","")</f>
        <v xml:space="preserve"> و </v>
      </c>
    </row>
    <row r="50" spans="2:33" ht="22.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Z50" s="2"/>
      <c r="AA50" s="2">
        <f>INT(Z46/1000)-(AA46*1000000+AA48*1000)</f>
        <v>800</v>
      </c>
      <c r="AB50" s="2">
        <f>INT(AA50/100)</f>
        <v>8</v>
      </c>
      <c r="AC50" s="2"/>
      <c r="AD50" s="2">
        <f>INT(AA50/10)-AB50*10</f>
        <v>0</v>
      </c>
      <c r="AE50" s="2"/>
      <c r="AF50" s="2">
        <f>INT(AA50)-AD50*10-AB50*100</f>
        <v>0</v>
      </c>
      <c r="AG50" s="2" t="str">
        <f>IF(SUM(AB50:AF50)&lt;&gt;0," هزار","")</f>
        <v xml:space="preserve"> هزار</v>
      </c>
    </row>
    <row r="51" spans="2:33" ht="22.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Z51" s="2"/>
      <c r="AA51" s="2"/>
      <c r="AB51" s="2" t="str">
        <f>IF(AB50=9,"نهصد",IF(AB50=8,"هشتصد",IF(AB50=7,"هفتصد",IF(AB50=6,"ششصد",IF(AB50=5,"پانصد",IF(AB50=4,"چهارصد",IF(AB50=3,"سیصد",IF(AB50=2,"دویست",IF(AB50=1,"یکصد","")))))))))</f>
        <v>هشتصد</v>
      </c>
      <c r="AC51" s="2" t="str">
        <f>IF(AND(AB50=0,AD50=0,AF50=0),"",IF(AB50=0,"",IF(AND(AD50=0,AF50=0),""," و ")))</f>
        <v/>
      </c>
      <c r="AD51" s="2" t="str">
        <f>IF(AD50=9,"نود",IF(AD50=8,"هشتاد",IF(AD50=7,"هفتاد",IF(AD50=6,"شصت",IF(AD50=5,"پنجاه",IF(AD50=4,"چهل",IF(AD50=3,"سی",IF(AD50=2,"بیست",""))))))))</f>
        <v/>
      </c>
      <c r="AE51" s="2" t="str">
        <f>IF(AF51="","",IF(AD51="",""," و "))</f>
        <v/>
      </c>
      <c r="AF51" s="2" t="str">
        <f>IF(AD50=1,(IF(AF50=9,"نوزده",IF(AF50=8,"هجده",IF(AF50=7,"هفده",IF(AF50=6,"شانزده",IF(AF50=5,"پانزده",IF(AF50=4,"چهارده",IF(AF50=3,"سیزده",IF(AF50=2,"دوازده",IF(AF50=1,"یازده","ده")))))))))),IF(AF50=9,"نه",IF(AF50=8,"هشت",IF(AF50=7,"هفت",IF(AF50=6,"شش",IF(AF50=5,"پنج",IF(AF50=4,"چهار",IF(AF50=3,"سه",IF(AF50=2,"دو",IF(AF50=1,"یک",""))))))))))</f>
        <v/>
      </c>
      <c r="AG51" s="2" t="str">
        <f>IF(AND(SUM(AB50:AF50)&lt;&gt;0,SUM(AB52:AF52)&lt;&gt;0)," و ","")</f>
        <v/>
      </c>
    </row>
    <row r="52" spans="2:33" ht="22.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Z52" s="2"/>
      <c r="AA52" s="2">
        <f>INT(Z46)-(AA46*1000000000+AA48*1000000+AA50*1000)</f>
        <v>0</v>
      </c>
      <c r="AB52" s="2">
        <f>INT(AA52/100)</f>
        <v>0</v>
      </c>
      <c r="AC52" s="2"/>
      <c r="AD52" s="2">
        <f>INT(AA52/10)-AB52*10</f>
        <v>0</v>
      </c>
      <c r="AE52" s="2"/>
      <c r="AF52" s="2">
        <f>INT(AA52)-AD52*10-AB52*100</f>
        <v>0</v>
      </c>
      <c r="AG52" s="2"/>
    </row>
    <row r="53" spans="2:33" ht="22.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Z53" s="2"/>
      <c r="AA53" s="2"/>
      <c r="AB53" s="2" t="str">
        <f>IF(AB52=9,"نهصد",IF(AB52=8,"هشتصد",IF(AB52=7,"هفتصد",IF(AB52=6,"ششصد",IF(AB52=5,"پانصد",IF(AB52=4,"چهارصد",IF(AB52=3,"سیصد",IF(AB52=2,"دویست",IF(AB52=1,"یکصد","")))))))))</f>
        <v/>
      </c>
      <c r="AC53" s="2" t="str">
        <f>IF(AND(AB52=0,AD52=0,AF52=0),"",IF(AB52=0,"",IF(AND(AD52=0,AF52=0),""," و ")))</f>
        <v/>
      </c>
      <c r="AD53" s="2" t="str">
        <f>IF(AD52=9,"نود",IF(AD52=8,"هشتاد",IF(AD52=7,"هفتاد",IF(AD52=6,"شصت",IF(AD52=5,"پنجاه",IF(AD52=4,"چهل",IF(AD52=3,"سی",IF(AD52=2,"بیست",""))))))))</f>
        <v/>
      </c>
      <c r="AE53" s="2" t="str">
        <f>IF(AF53="","",IF(AD53="",""," و "))</f>
        <v/>
      </c>
      <c r="AF53" s="2" t="str">
        <f>IF(AD52=1,(IF(AF52=9,"نوزده",IF(AF52=8,"هجده",IF(AF52=7,"هفده",IF(AF52=6,"شانزده",IF(AF52=5,"پانزده",IF(AF52=4,"چهارده",IF(AF52=3,"سیزده",IF(AF52=2,"دوازده",IF(AF52=1,"یازده","ده")))))))))),IF(AF52=9,"نه",IF(AF52=8,"هشت",IF(AF52=7,"هفت",IF(AF52=6,"شش",IF(AF52=5,"پنج",IF(AF52=4,"چهار",IF(AF52=3,"سه",IF(AF52=2,"دو",IF(AF52=1,"یک",""))))))))))</f>
        <v/>
      </c>
      <c r="AG53" s="2"/>
    </row>
    <row r="54" spans="2:33" ht="22.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33" ht="22.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33" ht="22.5">
      <c r="B56" s="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33" ht="22.5">
      <c r="B57" s="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33" ht="22.5">
      <c r="B58" s="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33" ht="22.5">
      <c r="B59" s="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33" ht="22.5">
      <c r="B60" s="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33" ht="22.5">
      <c r="B61" s="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33" ht="22.5">
      <c r="B62" s="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33" ht="22.5">
      <c r="B63" s="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2:33" ht="22.5">
      <c r="B64" s="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 ht="22.5">
      <c r="B65" s="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2:17" ht="22.5">
      <c r="B66" s="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2:17" ht="22.5">
      <c r="B67" s="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 ht="22.5">
      <c r="B68" s="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2:17" ht="22.5">
      <c r="B69" s="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2:17" ht="22.5">
      <c r="B70" s="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 ht="22.5">
      <c r="B71" s="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2:17" ht="22.5">
      <c r="B72" s="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 ht="22.5">
      <c r="B73" s="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2:17" ht="22.5">
      <c r="B74" s="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 ht="22.5">
      <c r="B75" s="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 ht="22.5">
      <c r="B76" s="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 ht="22.5">
      <c r="B77" s="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2:17" ht="22.5">
      <c r="B78" s="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2:17" ht="22.5">
      <c r="B79" s="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2:17" ht="22.5">
      <c r="B80" s="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2:17" ht="22.5">
      <c r="B81" s="7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2:17" ht="22.5">
      <c r="B82" s="7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2:17" ht="22.5">
      <c r="B83" s="7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 ht="22.5">
      <c r="B84" s="7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2:17" ht="22.5">
      <c r="B85" s="7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2:17" ht="22.5">
      <c r="B86" s="7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2:17" ht="22.5">
      <c r="B87" s="7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2:17" ht="18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2:17" ht="18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2:17" ht="18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2:17" ht="18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2:17" ht="18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 ht="18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2:17" ht="18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2:17" ht="18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2:17" ht="18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2:17" ht="18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2:17" ht="18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2:17" ht="18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2:17" ht="18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2:17" ht="18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2:17" ht="18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2:17" ht="18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2:17" ht="18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2:17" ht="18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2:17" ht="18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2:17" ht="18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2:17" ht="18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2:17" ht="18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2:17" ht="18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2:17" ht="18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2:17" ht="18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2:17" ht="18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2:17" ht="18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2:17" ht="18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2:17" ht="18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2:17" ht="18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2:17" ht="18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2:17" ht="18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2:17" ht="18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2:17" ht="18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2:17" ht="18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2:17" ht="18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2:17" ht="18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2:17" ht="18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2:17" ht="18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2:17" ht="18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2:17" ht="18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2:17" ht="18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2:17" ht="18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2:17" ht="18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2:17" ht="18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2:17" ht="18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2:17" ht="18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2:17" ht="18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2:17" ht="18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2:17" ht="18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2:17" ht="18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2:17" ht="18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2:17" ht="18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2:17" ht="18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2:17" ht="18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2:17" ht="18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2:17" ht="18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2:17" ht="18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2:17" ht="18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2:17" ht="18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2:17" ht="18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2:17" ht="18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2:17" ht="18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2:17" ht="18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2:17" ht="18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2:17" ht="18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2:17" ht="18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2:17" ht="18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2:17" ht="18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2:17" ht="18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2:17" ht="18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2:17" ht="18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2:17" ht="18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2:17" ht="18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2:17" ht="18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2:17" ht="18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2:17" ht="18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2:17" ht="18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2:17" ht="18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2:17" ht="18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2:17" ht="18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2:17" ht="18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2:17" ht="18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2:17" ht="18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2:17" ht="18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2:17" ht="18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2:17" ht="18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2:17" ht="18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2:17" ht="18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2:17" ht="18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2:17" ht="18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2:17" ht="18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2:17" ht="18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2:17" ht="18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</sheetData>
  <mergeCells count="66">
    <mergeCell ref="E25:G25"/>
    <mergeCell ref="M25:N25"/>
    <mergeCell ref="O25:Q25"/>
    <mergeCell ref="E26:G26"/>
    <mergeCell ref="M26:N26"/>
    <mergeCell ref="O26:Q26"/>
    <mergeCell ref="D28:E28"/>
    <mergeCell ref="F28:Q28"/>
    <mergeCell ref="D27:F27"/>
    <mergeCell ref="H27:N27"/>
    <mergeCell ref="O27:Q27"/>
    <mergeCell ref="O23:Q23"/>
    <mergeCell ref="E24:G24"/>
    <mergeCell ref="M24:N24"/>
    <mergeCell ref="O24:Q24"/>
    <mergeCell ref="O21:Q21"/>
    <mergeCell ref="E21:G21"/>
    <mergeCell ref="M21:N21"/>
    <mergeCell ref="E23:G23"/>
    <mergeCell ref="M23:N23"/>
    <mergeCell ref="E18:G18"/>
    <mergeCell ref="M18:N18"/>
    <mergeCell ref="O18:Q18"/>
    <mergeCell ref="E17:G17"/>
    <mergeCell ref="M17:N17"/>
    <mergeCell ref="O17:Q17"/>
    <mergeCell ref="E16:G16"/>
    <mergeCell ref="M16:N16"/>
    <mergeCell ref="O16:Q16"/>
    <mergeCell ref="E11:G11"/>
    <mergeCell ref="M11:N11"/>
    <mergeCell ref="O11:Q11"/>
    <mergeCell ref="E15:G15"/>
    <mergeCell ref="M15:N15"/>
    <mergeCell ref="O15:Q15"/>
    <mergeCell ref="M14:N14"/>
    <mergeCell ref="O14:Q14"/>
    <mergeCell ref="E14:G14"/>
    <mergeCell ref="E12:G12"/>
    <mergeCell ref="G8:H8"/>
    <mergeCell ref="N8:O8"/>
    <mergeCell ref="E10:G10"/>
    <mergeCell ref="M10:N10"/>
    <mergeCell ref="O10:Q10"/>
    <mergeCell ref="E19:G19"/>
    <mergeCell ref="M19:N19"/>
    <mergeCell ref="O19:Q19"/>
    <mergeCell ref="G4:M4"/>
    <mergeCell ref="G5:M5"/>
    <mergeCell ref="N5:O6"/>
    <mergeCell ref="G6:M6"/>
    <mergeCell ref="P8:Q8"/>
    <mergeCell ref="L8:M8"/>
    <mergeCell ref="J8:K8"/>
    <mergeCell ref="M12:N12"/>
    <mergeCell ref="O12:Q12"/>
    <mergeCell ref="E13:G13"/>
    <mergeCell ref="M13:N13"/>
    <mergeCell ref="O13:Q13"/>
    <mergeCell ref="D8:E8"/>
    <mergeCell ref="E20:G20"/>
    <mergeCell ref="M20:N20"/>
    <mergeCell ref="O20:Q20"/>
    <mergeCell ref="E22:G22"/>
    <mergeCell ref="M22:N22"/>
    <mergeCell ref="O22:Q22"/>
  </mergeCells>
  <printOptions horizontalCentered="1"/>
  <pageMargins left="0.19685039370078741" right="7.874015748031496E-2" top="0.19685039370078741" bottom="0.19685039370078741" header="1.299212598425197" footer="0.70866141732283472"/>
  <pageSetup paperSize="9" orientation="portrait" r:id="rId1"/>
  <headerFooter>
    <oddHeader xml:space="preserve">&amp;L&amp;"B Nazanin,Regular"&amp;9                  &amp;Pاز&amp;N      </oddHeader>
    <oddFooter>&amp;C&amp;"B Nazanin,Regular"&amp;10                                     تأیید کننده:&amp;R&amp;"B Nazanin,Regular"&amp;10                                        پیمانکار: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86"/>
  <sheetViews>
    <sheetView rightToLeft="1" tabSelected="1" view="pageBreakPreview" zoomScale="85" zoomScaleNormal="85" zoomScaleSheetLayoutView="85" zoomScalePageLayoutView="85" workbookViewId="0">
      <selection activeCell="C11" sqref="C11:O11"/>
    </sheetView>
    <sheetView rightToLeft="1" tabSelected="1" view="pageBreakPreview" topLeftCell="A48" zoomScale="95" zoomScaleNormal="130" zoomScaleSheetLayoutView="95" workbookViewId="1">
      <selection activeCell="M85" sqref="M85"/>
    </sheetView>
  </sheetViews>
  <sheetFormatPr defaultRowHeight="15"/>
  <cols>
    <col min="1" max="1" width="0.875" customWidth="1"/>
    <col min="2" max="2" width="3.75" customWidth="1"/>
    <col min="3" max="3" width="4.75" customWidth="1"/>
    <col min="4" max="4" width="6.625" customWidth="1"/>
    <col min="5" max="5" width="11.875" customWidth="1"/>
    <col min="6" max="6" width="8" customWidth="1"/>
    <col min="7" max="7" width="13.25" customWidth="1"/>
    <col min="8" max="8" width="5" hidden="1" customWidth="1"/>
    <col min="9" max="9" width="6" style="86" bestFit="1" customWidth="1"/>
    <col min="10" max="10" width="5.25" style="86" bestFit="1" customWidth="1"/>
    <col min="11" max="11" width="7.125" style="86" customWidth="1"/>
    <col min="12" max="12" width="5.875" style="86" customWidth="1"/>
    <col min="13" max="13" width="8.875" style="86" customWidth="1"/>
    <col min="14" max="14" width="5.125" style="86" customWidth="1"/>
    <col min="15" max="15" width="4.375" style="86" customWidth="1"/>
    <col min="16" max="16" width="4.625" customWidth="1"/>
    <col min="17" max="17" width="2.75" customWidth="1"/>
    <col min="18" max="18" width="2" customWidth="1"/>
    <col min="19" max="19" width="0.875" customWidth="1"/>
    <col min="20" max="20" width="0.375" customWidth="1"/>
    <col min="21" max="21" width="16.25" customWidth="1"/>
    <col min="23" max="23" width="21.75" customWidth="1"/>
  </cols>
  <sheetData>
    <row r="1" spans="1:21" ht="18">
      <c r="A1" s="3"/>
      <c r="B1" s="3"/>
      <c r="C1" s="3"/>
      <c r="D1" s="3"/>
      <c r="E1" s="3"/>
      <c r="F1" s="3"/>
      <c r="G1" s="3"/>
      <c r="H1" s="3"/>
      <c r="I1" s="71"/>
      <c r="J1" s="71"/>
      <c r="K1" s="71"/>
      <c r="L1" s="71"/>
      <c r="M1" s="71"/>
      <c r="N1" s="71"/>
      <c r="O1" s="71"/>
      <c r="P1" s="3"/>
      <c r="Q1" s="3"/>
      <c r="R1" s="3"/>
    </row>
    <row r="2" spans="1:21" ht="4.5" customHeight="1" thickBot="1">
      <c r="A2" s="7"/>
      <c r="B2" s="7"/>
      <c r="C2" s="7"/>
      <c r="D2" s="7"/>
      <c r="E2" s="7"/>
      <c r="F2" s="7"/>
      <c r="G2" s="7"/>
      <c r="H2" s="7"/>
      <c r="I2" s="73"/>
      <c r="J2" s="73"/>
      <c r="K2" s="73"/>
      <c r="L2" s="73"/>
      <c r="M2" s="73"/>
      <c r="N2" s="73"/>
      <c r="O2" s="73"/>
      <c r="P2" s="7"/>
      <c r="Q2" s="7"/>
      <c r="R2" s="7"/>
      <c r="S2" s="8"/>
      <c r="T2" s="8"/>
    </row>
    <row r="3" spans="1:21" ht="3.75" customHeight="1">
      <c r="A3" s="4"/>
      <c r="B3" s="5"/>
      <c r="C3" s="5"/>
      <c r="D3" s="5"/>
      <c r="E3" s="5"/>
      <c r="F3" s="5"/>
      <c r="G3" s="5"/>
      <c r="H3" s="5"/>
      <c r="I3" s="75"/>
      <c r="J3" s="75"/>
      <c r="K3" s="75"/>
      <c r="L3" s="75"/>
      <c r="M3" s="75"/>
      <c r="N3" s="75"/>
      <c r="O3" s="75"/>
      <c r="P3" s="5"/>
      <c r="Q3" s="5"/>
      <c r="R3" s="5"/>
      <c r="S3" s="9"/>
      <c r="T3" s="8"/>
    </row>
    <row r="4" spans="1:21" ht="18.75" customHeight="1">
      <c r="A4" s="6"/>
      <c r="B4" s="16"/>
      <c r="C4" s="16"/>
      <c r="D4" s="16"/>
      <c r="E4" s="16"/>
      <c r="F4" s="209" t="str">
        <f>روکش!F3</f>
        <v>شرکت مهندسی و اجراءِ ژالکه</v>
      </c>
      <c r="G4" s="209"/>
      <c r="H4" s="209"/>
      <c r="I4" s="209"/>
      <c r="J4" s="209"/>
      <c r="K4" s="209"/>
      <c r="O4" s="77"/>
      <c r="P4" s="16"/>
      <c r="Q4" s="16"/>
      <c r="R4" s="16"/>
      <c r="S4" s="10"/>
      <c r="T4" s="8"/>
    </row>
    <row r="5" spans="1:21" ht="18.75" customHeight="1">
      <c r="A5" s="6"/>
      <c r="B5" s="16"/>
      <c r="C5" s="16"/>
      <c r="D5" s="16"/>
      <c r="E5" s="16"/>
      <c r="F5" s="209" t="str">
        <f>روکش!F4</f>
        <v>کارگاه پروژه خلیج فارس - یزد</v>
      </c>
      <c r="G5" s="209"/>
      <c r="H5" s="209"/>
      <c r="I5" s="209"/>
      <c r="J5" s="209"/>
      <c r="K5" s="209"/>
      <c r="L5" s="386" t="s">
        <v>13</v>
      </c>
      <c r="M5" s="387"/>
      <c r="N5" s="387"/>
      <c r="O5" s="381" t="s">
        <v>14</v>
      </c>
      <c r="P5" s="17" t="s">
        <v>42</v>
      </c>
      <c r="S5" s="10"/>
      <c r="T5" s="8"/>
    </row>
    <row r="6" spans="1:21" ht="18.75" customHeight="1">
      <c r="A6" s="6"/>
      <c r="B6" s="16"/>
      <c r="C6" s="16"/>
      <c r="D6" s="16"/>
      <c r="E6" s="16"/>
      <c r="F6" s="209" t="s">
        <v>54</v>
      </c>
      <c r="G6" s="209"/>
      <c r="H6" s="209"/>
      <c r="I6" s="209"/>
      <c r="J6" s="209"/>
      <c r="K6" s="209"/>
      <c r="L6" s="386"/>
      <c r="M6" s="387"/>
      <c r="N6" s="387"/>
      <c r="O6" s="381" t="s">
        <v>15</v>
      </c>
      <c r="P6" s="17" t="str">
        <f>روکش!Q5</f>
        <v>O</v>
      </c>
      <c r="S6" s="10"/>
      <c r="T6" s="8"/>
    </row>
    <row r="7" spans="1:21" ht="3.75" customHeight="1">
      <c r="A7" s="6"/>
      <c r="B7" s="16"/>
      <c r="C7" s="16"/>
      <c r="D7" s="16"/>
      <c r="E7" s="16"/>
      <c r="F7" s="16"/>
      <c r="G7" s="16"/>
      <c r="H7" s="16"/>
      <c r="I7" s="77"/>
      <c r="J7" s="77"/>
      <c r="K7" s="77"/>
      <c r="L7" s="77"/>
      <c r="M7" s="77"/>
      <c r="N7" s="77"/>
      <c r="O7" s="77"/>
      <c r="P7" s="16"/>
      <c r="Q7" s="16"/>
      <c r="R7" s="16"/>
      <c r="S7" s="10"/>
      <c r="T7" s="8"/>
    </row>
    <row r="8" spans="1:21" ht="23.25" customHeight="1">
      <c r="A8" s="6"/>
      <c r="B8" s="296" t="s">
        <v>44</v>
      </c>
      <c r="C8" s="297"/>
      <c r="D8" s="297"/>
      <c r="E8" s="298"/>
      <c r="F8" s="296" t="s">
        <v>459</v>
      </c>
      <c r="G8" s="298"/>
      <c r="H8" s="299" t="s">
        <v>45</v>
      </c>
      <c r="I8" s="299"/>
      <c r="J8" s="379">
        <f>روکش!H7</f>
        <v>1</v>
      </c>
      <c r="K8" s="388" t="s">
        <v>46</v>
      </c>
      <c r="L8" s="388"/>
      <c r="M8" s="388" t="s">
        <v>460</v>
      </c>
      <c r="N8" s="388"/>
      <c r="O8" s="232" t="s">
        <v>47</v>
      </c>
      <c r="P8" s="232"/>
      <c r="Q8" s="232">
        <v>1</v>
      </c>
      <c r="R8" s="232"/>
      <c r="S8" s="10"/>
      <c r="T8" s="8"/>
    </row>
    <row r="9" spans="1:21" ht="3.75" customHeight="1">
      <c r="A9" s="6"/>
      <c r="S9" s="10"/>
      <c r="T9" s="8"/>
    </row>
    <row r="10" spans="1:21" ht="18.75" customHeight="1">
      <c r="A10" s="6"/>
      <c r="B10" s="38" t="s">
        <v>0</v>
      </c>
      <c r="C10" s="38" t="s">
        <v>69</v>
      </c>
      <c r="D10" s="38" t="s">
        <v>70</v>
      </c>
      <c r="E10" s="96" t="s">
        <v>22</v>
      </c>
      <c r="F10" s="300" t="s">
        <v>182</v>
      </c>
      <c r="G10" s="300"/>
      <c r="H10" s="300"/>
      <c r="I10" s="378" t="s">
        <v>10</v>
      </c>
      <c r="J10" s="378" t="s">
        <v>7</v>
      </c>
      <c r="K10" s="378" t="s">
        <v>8</v>
      </c>
      <c r="L10" s="378" t="s">
        <v>9</v>
      </c>
      <c r="M10" s="378" t="s">
        <v>23</v>
      </c>
      <c r="N10" s="382" t="s">
        <v>6</v>
      </c>
      <c r="O10" s="382"/>
      <c r="P10" s="300" t="s">
        <v>55</v>
      </c>
      <c r="Q10" s="300"/>
      <c r="R10" s="300"/>
      <c r="S10" s="10"/>
      <c r="T10" s="8"/>
    </row>
    <row r="11" spans="1:21" ht="3" customHeight="1">
      <c r="A11" s="6"/>
      <c r="S11" s="10"/>
      <c r="T11" s="8"/>
    </row>
    <row r="12" spans="1:21" ht="32.25" customHeight="1">
      <c r="A12" s="6"/>
      <c r="B12" s="144">
        <v>1</v>
      </c>
      <c r="C12" s="256" t="s">
        <v>442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8"/>
      <c r="P12" s="259" t="s">
        <v>102</v>
      </c>
      <c r="Q12" s="260"/>
      <c r="R12" s="261"/>
      <c r="S12" s="10"/>
      <c r="T12" s="8"/>
    </row>
    <row r="13" spans="1:21" ht="25.5" customHeight="1">
      <c r="A13" s="6"/>
      <c r="B13" s="32" t="s">
        <v>65</v>
      </c>
      <c r="C13" s="48" t="s">
        <v>80</v>
      </c>
      <c r="D13" s="49" t="s">
        <v>444</v>
      </c>
      <c r="E13" s="176" t="s">
        <v>443</v>
      </c>
      <c r="F13" s="262" t="s">
        <v>461</v>
      </c>
      <c r="G13" s="263"/>
      <c r="H13" s="264"/>
      <c r="I13" s="373">
        <v>2</v>
      </c>
      <c r="J13" s="373">
        <v>4</v>
      </c>
      <c r="K13" s="373">
        <v>5</v>
      </c>
      <c r="L13" s="373">
        <v>8</v>
      </c>
      <c r="M13" s="373"/>
      <c r="N13" s="375">
        <f>I13</f>
        <v>2</v>
      </c>
      <c r="O13" s="375"/>
      <c r="P13" s="265"/>
      <c r="Q13" s="266"/>
      <c r="R13" s="267"/>
      <c r="S13" s="10"/>
      <c r="T13" s="8"/>
      <c r="U13">
        <f>+L13*I13</f>
        <v>16</v>
      </c>
    </row>
    <row r="14" spans="1:21" ht="25.5" customHeight="1">
      <c r="A14" s="6"/>
      <c r="B14" s="32" t="s">
        <v>66</v>
      </c>
      <c r="C14" s="48" t="s">
        <v>80</v>
      </c>
      <c r="D14" s="49" t="s">
        <v>444</v>
      </c>
      <c r="E14" s="176" t="s">
        <v>441</v>
      </c>
      <c r="F14" s="268" t="s">
        <v>461</v>
      </c>
      <c r="G14" s="269"/>
      <c r="H14" s="270"/>
      <c r="I14" s="373">
        <v>2</v>
      </c>
      <c r="J14" s="373">
        <v>4</v>
      </c>
      <c r="K14" s="373">
        <v>5</v>
      </c>
      <c r="L14" s="373">
        <v>8</v>
      </c>
      <c r="M14" s="373"/>
      <c r="N14" s="375">
        <f>I14</f>
        <v>2</v>
      </c>
      <c r="O14" s="375"/>
      <c r="P14" s="265"/>
      <c r="Q14" s="266"/>
      <c r="R14" s="267"/>
      <c r="S14" s="10"/>
      <c r="T14" s="8"/>
      <c r="U14">
        <f t="shared" ref="U14" si="0">+L14*I14</f>
        <v>16</v>
      </c>
    </row>
    <row r="15" spans="1:21" ht="20.25" customHeight="1">
      <c r="A15" s="6"/>
      <c r="B15" s="32" t="s">
        <v>67</v>
      </c>
      <c r="C15" s="249" t="str">
        <f>"جمع "&amp;C12</f>
        <v>جمع بستن داربست به صورت اجرتی چهارپایه متحرک (چرخدار) و ثابت</v>
      </c>
      <c r="D15" s="250"/>
      <c r="E15" s="250"/>
      <c r="F15" s="250"/>
      <c r="G15" s="250"/>
      <c r="H15" s="250"/>
      <c r="I15" s="250"/>
      <c r="J15" s="250"/>
      <c r="K15" s="250"/>
      <c r="L15" s="250"/>
      <c r="M15" s="251"/>
      <c r="N15" s="383"/>
      <c r="O15" s="384"/>
      <c r="P15" s="252">
        <f>N13+N14</f>
        <v>4</v>
      </c>
      <c r="Q15" s="253"/>
      <c r="R15" s="254"/>
      <c r="S15" s="10"/>
      <c r="T15" s="8"/>
    </row>
    <row r="16" spans="1:21" ht="32.25" customHeight="1">
      <c r="A16" s="6"/>
      <c r="B16" s="42">
        <v>2</v>
      </c>
      <c r="C16" s="256" t="s">
        <v>426</v>
      </c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8"/>
      <c r="P16" s="259" t="s">
        <v>102</v>
      </c>
      <c r="Q16" s="260"/>
      <c r="R16" s="261"/>
      <c r="S16" s="10"/>
      <c r="T16" s="8"/>
    </row>
    <row r="17" spans="1:21" ht="25.5" customHeight="1">
      <c r="A17" s="6"/>
      <c r="B17" s="32" t="s">
        <v>103</v>
      </c>
      <c r="C17" s="48" t="s">
        <v>80</v>
      </c>
      <c r="D17" s="49" t="s">
        <v>427</v>
      </c>
      <c r="E17" s="176" t="s">
        <v>428</v>
      </c>
      <c r="F17" s="262" t="s">
        <v>461</v>
      </c>
      <c r="G17" s="263"/>
      <c r="H17" s="264"/>
      <c r="I17" s="373">
        <v>1</v>
      </c>
      <c r="J17" s="373">
        <v>2</v>
      </c>
      <c r="K17" s="373">
        <v>3</v>
      </c>
      <c r="L17" s="373" t="s">
        <v>462</v>
      </c>
      <c r="M17" s="373" t="s">
        <v>404</v>
      </c>
      <c r="N17" s="375">
        <v>1</v>
      </c>
      <c r="O17" s="375"/>
      <c r="P17" s="265"/>
      <c r="Q17" s="266"/>
      <c r="R17" s="267"/>
      <c r="S17" s="10"/>
      <c r="T17" s="8"/>
      <c r="U17" t="e">
        <f>+L17*I17</f>
        <v>#VALUE!</v>
      </c>
    </row>
    <row r="18" spans="1:21" ht="25.5" customHeight="1">
      <c r="A18" s="6"/>
      <c r="B18" s="32" t="s">
        <v>104</v>
      </c>
      <c r="C18" s="48" t="s">
        <v>80</v>
      </c>
      <c r="D18" s="49" t="s">
        <v>427</v>
      </c>
      <c r="E18" s="176" t="s">
        <v>428</v>
      </c>
      <c r="F18" s="173" t="s">
        <v>461</v>
      </c>
      <c r="G18" s="174"/>
      <c r="H18" s="175"/>
      <c r="I18" s="373">
        <v>1</v>
      </c>
      <c r="J18" s="373">
        <v>2</v>
      </c>
      <c r="K18" s="373">
        <v>3</v>
      </c>
      <c r="L18" s="373" t="s">
        <v>463</v>
      </c>
      <c r="M18" s="373" t="s">
        <v>436</v>
      </c>
      <c r="N18" s="376">
        <v>1</v>
      </c>
      <c r="O18" s="377"/>
      <c r="P18" s="177"/>
      <c r="Q18" s="178"/>
      <c r="R18" s="179"/>
      <c r="S18" s="10"/>
      <c r="T18" s="8"/>
    </row>
    <row r="19" spans="1:21" ht="25.5" customHeight="1">
      <c r="A19" s="6"/>
      <c r="B19" s="32" t="s">
        <v>105</v>
      </c>
      <c r="C19" s="48" t="s">
        <v>80</v>
      </c>
      <c r="D19" s="49" t="s">
        <v>427</v>
      </c>
      <c r="E19" s="176" t="s">
        <v>429</v>
      </c>
      <c r="F19" s="268" t="s">
        <v>461</v>
      </c>
      <c r="G19" s="269"/>
      <c r="H19" s="270"/>
      <c r="I19" s="373">
        <v>1</v>
      </c>
      <c r="J19" s="373">
        <v>2</v>
      </c>
      <c r="K19" s="373">
        <v>3</v>
      </c>
      <c r="L19" s="373" t="s">
        <v>462</v>
      </c>
      <c r="M19" s="373" t="s">
        <v>464</v>
      </c>
      <c r="N19" s="375">
        <v>1</v>
      </c>
      <c r="O19" s="375"/>
      <c r="P19" s="265"/>
      <c r="Q19" s="266"/>
      <c r="R19" s="267"/>
      <c r="S19" s="10"/>
      <c r="T19" s="8"/>
      <c r="U19" t="e">
        <f t="shared" ref="U19:U31" si="1">+L19*I19</f>
        <v>#VALUE!</v>
      </c>
    </row>
    <row r="20" spans="1:21" ht="25.5" customHeight="1">
      <c r="A20" s="6"/>
      <c r="B20" s="32" t="s">
        <v>238</v>
      </c>
      <c r="C20" s="48" t="s">
        <v>331</v>
      </c>
      <c r="D20" s="49" t="s">
        <v>427</v>
      </c>
      <c r="E20" s="176" t="s">
        <v>431</v>
      </c>
      <c r="F20" s="268" t="s">
        <v>461</v>
      </c>
      <c r="G20" s="269"/>
      <c r="H20" s="270"/>
      <c r="I20" s="373">
        <v>1</v>
      </c>
      <c r="J20" s="373">
        <v>2</v>
      </c>
      <c r="K20" s="373">
        <v>3</v>
      </c>
      <c r="L20" s="373" t="s">
        <v>463</v>
      </c>
      <c r="M20" s="373" t="s">
        <v>465</v>
      </c>
      <c r="N20" s="375">
        <f t="shared" ref="N20:N31" si="2">I20</f>
        <v>1</v>
      </c>
      <c r="O20" s="375"/>
      <c r="P20" s="265"/>
      <c r="Q20" s="266"/>
      <c r="R20" s="267"/>
      <c r="S20" s="10"/>
      <c r="T20" s="8"/>
      <c r="U20" t="e">
        <f t="shared" si="1"/>
        <v>#VALUE!</v>
      </c>
    </row>
    <row r="21" spans="1:21" ht="25.5" customHeight="1">
      <c r="A21" s="6"/>
      <c r="B21" s="32" t="s">
        <v>239</v>
      </c>
      <c r="C21" s="48" t="s">
        <v>331</v>
      </c>
      <c r="D21" s="49" t="s">
        <v>427</v>
      </c>
      <c r="E21" s="176" t="s">
        <v>431</v>
      </c>
      <c r="F21" t="s">
        <v>461</v>
      </c>
      <c r="G21" s="171"/>
      <c r="H21" s="172"/>
      <c r="I21" s="373">
        <v>1</v>
      </c>
      <c r="J21" s="373">
        <v>2</v>
      </c>
      <c r="K21" s="373">
        <v>3</v>
      </c>
      <c r="L21" s="373" t="s">
        <v>463</v>
      </c>
      <c r="M21" s="373" t="s">
        <v>465</v>
      </c>
      <c r="N21" s="376">
        <v>1</v>
      </c>
      <c r="O21" s="377"/>
      <c r="P21" s="177"/>
      <c r="Q21" s="178"/>
      <c r="R21" s="179"/>
      <c r="S21" s="10"/>
      <c r="T21" s="8"/>
    </row>
    <row r="22" spans="1:21" ht="25.5" customHeight="1">
      <c r="A22" s="6"/>
      <c r="B22" s="32" t="s">
        <v>240</v>
      </c>
      <c r="C22" s="48" t="s">
        <v>331</v>
      </c>
      <c r="D22" s="49" t="s">
        <v>427</v>
      </c>
      <c r="E22" s="176" t="s">
        <v>432</v>
      </c>
      <c r="F22" s="268" t="s">
        <v>461</v>
      </c>
      <c r="G22" s="269"/>
      <c r="H22" s="270"/>
      <c r="I22" s="373">
        <v>1</v>
      </c>
      <c r="J22" s="373">
        <v>2</v>
      </c>
      <c r="K22" s="373">
        <v>3</v>
      </c>
      <c r="L22" s="373">
        <v>3</v>
      </c>
      <c r="M22" s="373" t="s">
        <v>466</v>
      </c>
      <c r="N22" s="375">
        <f t="shared" si="2"/>
        <v>1</v>
      </c>
      <c r="O22" s="375"/>
      <c r="P22" s="265"/>
      <c r="Q22" s="266"/>
      <c r="R22" s="267"/>
      <c r="S22" s="10"/>
      <c r="T22" s="8"/>
      <c r="U22">
        <f t="shared" si="1"/>
        <v>3</v>
      </c>
    </row>
    <row r="23" spans="1:21" ht="25.5" customHeight="1">
      <c r="A23" s="6"/>
      <c r="B23" s="32" t="s">
        <v>344</v>
      </c>
      <c r="C23" s="48" t="s">
        <v>80</v>
      </c>
      <c r="D23" s="49" t="s">
        <v>434</v>
      </c>
      <c r="E23" s="176" t="s">
        <v>433</v>
      </c>
      <c r="F23" s="268" t="s">
        <v>461</v>
      </c>
      <c r="G23" s="269"/>
      <c r="H23" s="270"/>
      <c r="I23" s="373">
        <v>1</v>
      </c>
      <c r="J23" s="373">
        <v>2</v>
      </c>
      <c r="K23" s="373">
        <v>3</v>
      </c>
      <c r="L23" s="373" t="s">
        <v>467</v>
      </c>
      <c r="M23" s="373" t="s">
        <v>468</v>
      </c>
      <c r="N23" s="375">
        <f t="shared" si="2"/>
        <v>1</v>
      </c>
      <c r="O23" s="375"/>
      <c r="P23" s="265"/>
      <c r="Q23" s="266"/>
      <c r="R23" s="267"/>
      <c r="S23" s="10"/>
      <c r="T23" s="8"/>
      <c r="U23" t="e">
        <f t="shared" si="1"/>
        <v>#VALUE!</v>
      </c>
    </row>
    <row r="24" spans="1:21" ht="25.5" customHeight="1">
      <c r="A24" s="6"/>
      <c r="B24" s="32" t="s">
        <v>241</v>
      </c>
      <c r="C24" s="48" t="s">
        <v>80</v>
      </c>
      <c r="D24" s="49" t="s">
        <v>434</v>
      </c>
      <c r="E24" s="176" t="s">
        <v>433</v>
      </c>
      <c r="F24" s="268" t="s">
        <v>461</v>
      </c>
      <c r="G24" s="269"/>
      <c r="H24" s="172"/>
      <c r="I24" s="373">
        <v>1</v>
      </c>
      <c r="J24" s="373">
        <v>2</v>
      </c>
      <c r="K24" s="373">
        <v>3</v>
      </c>
      <c r="L24" s="373" t="s">
        <v>463</v>
      </c>
      <c r="M24" s="373" t="s">
        <v>469</v>
      </c>
      <c r="N24" s="376">
        <v>1</v>
      </c>
      <c r="O24" s="377"/>
      <c r="P24" s="177"/>
      <c r="Q24" s="178"/>
      <c r="R24" s="179"/>
      <c r="S24" s="10"/>
      <c r="T24" s="8"/>
      <c r="U24" t="e">
        <f t="shared" si="1"/>
        <v>#VALUE!</v>
      </c>
    </row>
    <row r="25" spans="1:21" ht="25.5" customHeight="1">
      <c r="A25" s="6"/>
      <c r="B25" s="32" t="s">
        <v>242</v>
      </c>
      <c r="C25" s="48" t="s">
        <v>80</v>
      </c>
      <c r="D25" s="49" t="s">
        <v>434</v>
      </c>
      <c r="E25" s="176" t="s">
        <v>435</v>
      </c>
      <c r="F25" s="268" t="s">
        <v>461</v>
      </c>
      <c r="G25" s="269"/>
      <c r="H25" s="270"/>
      <c r="I25" s="373">
        <v>1</v>
      </c>
      <c r="J25" s="373">
        <v>2</v>
      </c>
      <c r="K25" s="373">
        <v>3</v>
      </c>
      <c r="L25" s="373" t="s">
        <v>463</v>
      </c>
      <c r="M25" s="373" t="s">
        <v>470</v>
      </c>
      <c r="N25" s="375">
        <f t="shared" si="2"/>
        <v>1</v>
      </c>
      <c r="O25" s="375"/>
      <c r="P25" s="265"/>
      <c r="Q25" s="266"/>
      <c r="R25" s="267"/>
      <c r="S25" s="10"/>
      <c r="T25" s="8"/>
      <c r="U25" t="e">
        <f t="shared" si="1"/>
        <v>#VALUE!</v>
      </c>
    </row>
    <row r="26" spans="1:21" ht="25.5" customHeight="1">
      <c r="A26" s="6"/>
      <c r="B26" s="32" t="s">
        <v>243</v>
      </c>
      <c r="C26" s="48" t="s">
        <v>80</v>
      </c>
      <c r="D26" s="49" t="s">
        <v>434</v>
      </c>
      <c r="E26" s="176" t="s">
        <v>435</v>
      </c>
      <c r="F26" s="268" t="s">
        <v>461</v>
      </c>
      <c r="G26" s="269"/>
      <c r="H26" s="172"/>
      <c r="I26" s="373">
        <v>1</v>
      </c>
      <c r="J26" s="373">
        <v>2</v>
      </c>
      <c r="K26" s="373">
        <v>3</v>
      </c>
      <c r="L26" s="373" t="s">
        <v>462</v>
      </c>
      <c r="M26" s="373" t="s">
        <v>470</v>
      </c>
      <c r="N26" s="376">
        <v>1</v>
      </c>
      <c r="O26" s="377"/>
      <c r="P26" s="177"/>
      <c r="Q26" s="178"/>
      <c r="R26" s="179"/>
      <c r="S26" s="10"/>
      <c r="T26" s="8"/>
      <c r="U26" t="e">
        <f t="shared" si="1"/>
        <v>#VALUE!</v>
      </c>
    </row>
    <row r="27" spans="1:21" ht="25.5" customHeight="1">
      <c r="A27" s="6"/>
      <c r="B27" s="32" t="s">
        <v>244</v>
      </c>
      <c r="C27" s="48" t="s">
        <v>80</v>
      </c>
      <c r="D27" s="49" t="s">
        <v>427</v>
      </c>
      <c r="E27" s="176" t="s">
        <v>436</v>
      </c>
      <c r="F27" s="268" t="s">
        <v>461</v>
      </c>
      <c r="G27" s="269"/>
      <c r="H27" s="270"/>
      <c r="I27" s="373">
        <v>1</v>
      </c>
      <c r="J27" s="373">
        <v>2</v>
      </c>
      <c r="K27" s="373">
        <v>3</v>
      </c>
      <c r="L27" s="373" t="s">
        <v>471</v>
      </c>
      <c r="M27" s="373" t="s">
        <v>472</v>
      </c>
      <c r="N27" s="375">
        <f t="shared" si="2"/>
        <v>1</v>
      </c>
      <c r="O27" s="375"/>
      <c r="P27" s="265"/>
      <c r="Q27" s="266"/>
      <c r="R27" s="267"/>
      <c r="S27" s="10"/>
      <c r="T27" s="8"/>
      <c r="U27" t="e">
        <f t="shared" si="1"/>
        <v>#VALUE!</v>
      </c>
    </row>
    <row r="28" spans="1:21" ht="25.5" customHeight="1">
      <c r="A28" s="6"/>
      <c r="B28" s="32" t="s">
        <v>245</v>
      </c>
      <c r="C28" s="48" t="s">
        <v>80</v>
      </c>
      <c r="D28" s="49" t="s">
        <v>427</v>
      </c>
      <c r="E28" s="176" t="s">
        <v>436</v>
      </c>
      <c r="F28" s="268" t="s">
        <v>461</v>
      </c>
      <c r="G28" s="269"/>
      <c r="H28" s="172"/>
      <c r="I28" s="373">
        <v>1</v>
      </c>
      <c r="J28" s="373">
        <v>2</v>
      </c>
      <c r="K28" s="373">
        <v>3</v>
      </c>
      <c r="L28" s="373" t="s">
        <v>473</v>
      </c>
      <c r="M28" s="373" t="s">
        <v>472</v>
      </c>
      <c r="N28" s="376">
        <v>1</v>
      </c>
      <c r="O28" s="377"/>
      <c r="P28" s="177"/>
      <c r="Q28" s="178"/>
      <c r="R28" s="179"/>
      <c r="S28" s="10"/>
      <c r="T28" s="8"/>
      <c r="U28" t="e">
        <f t="shared" si="1"/>
        <v>#VALUE!</v>
      </c>
    </row>
    <row r="29" spans="1:21" ht="25.5" customHeight="1">
      <c r="A29" s="6"/>
      <c r="B29" s="32" t="s">
        <v>246</v>
      </c>
      <c r="C29" s="48" t="s">
        <v>80</v>
      </c>
      <c r="D29" s="49" t="s">
        <v>427</v>
      </c>
      <c r="E29" s="176" t="s">
        <v>437</v>
      </c>
      <c r="F29" s="268" t="s">
        <v>461</v>
      </c>
      <c r="G29" s="269"/>
      <c r="H29" s="270"/>
      <c r="I29" s="373">
        <v>1</v>
      </c>
      <c r="J29" s="373">
        <v>2</v>
      </c>
      <c r="K29" s="373">
        <v>3</v>
      </c>
      <c r="L29" s="373">
        <v>4</v>
      </c>
      <c r="M29" s="373" t="s">
        <v>474</v>
      </c>
      <c r="N29" s="375">
        <f t="shared" si="2"/>
        <v>1</v>
      </c>
      <c r="O29" s="375"/>
      <c r="P29" s="265"/>
      <c r="Q29" s="266"/>
      <c r="R29" s="267"/>
      <c r="S29" s="10"/>
      <c r="T29" s="8"/>
      <c r="U29">
        <f t="shared" si="1"/>
        <v>4</v>
      </c>
    </row>
    <row r="30" spans="1:21" ht="25.5" customHeight="1">
      <c r="A30" s="374">
        <v>43510</v>
      </c>
      <c r="B30" s="32" t="s">
        <v>247</v>
      </c>
      <c r="C30" s="48" t="s">
        <v>322</v>
      </c>
      <c r="D30" s="49" t="s">
        <v>427</v>
      </c>
      <c r="E30" s="176" t="s">
        <v>437</v>
      </c>
      <c r="F30" s="268" t="s">
        <v>461</v>
      </c>
      <c r="G30" s="269"/>
      <c r="H30" s="172"/>
      <c r="I30" s="373">
        <v>1</v>
      </c>
      <c r="J30" s="373">
        <v>1</v>
      </c>
      <c r="K30" s="373">
        <v>3</v>
      </c>
      <c r="L30" s="373">
        <v>4.5</v>
      </c>
      <c r="M30" s="373" t="s">
        <v>474</v>
      </c>
      <c r="N30" s="376">
        <v>1</v>
      </c>
      <c r="O30" s="377"/>
      <c r="P30" s="177"/>
      <c r="Q30" s="178"/>
      <c r="R30" s="179"/>
      <c r="S30" s="10"/>
      <c r="T30" s="8"/>
      <c r="U30">
        <f t="shared" si="1"/>
        <v>4.5</v>
      </c>
    </row>
    <row r="31" spans="1:21" ht="25.5" customHeight="1">
      <c r="A31" s="6"/>
      <c r="B31" s="32" t="s">
        <v>248</v>
      </c>
      <c r="C31" s="48" t="s">
        <v>322</v>
      </c>
      <c r="D31" s="49" t="s">
        <v>427</v>
      </c>
      <c r="E31" s="176" t="s">
        <v>437</v>
      </c>
      <c r="F31" s="268" t="s">
        <v>461</v>
      </c>
      <c r="G31" s="269"/>
      <c r="H31" s="270"/>
      <c r="I31" s="373">
        <v>1</v>
      </c>
      <c r="J31" s="373">
        <v>1.5</v>
      </c>
      <c r="K31" s="373">
        <v>3</v>
      </c>
      <c r="L31" s="373">
        <v>4.5</v>
      </c>
      <c r="M31" s="373" t="s">
        <v>474</v>
      </c>
      <c r="N31" s="375">
        <f t="shared" si="2"/>
        <v>1</v>
      </c>
      <c r="O31" s="375"/>
      <c r="P31" s="265"/>
      <c r="Q31" s="266"/>
      <c r="R31" s="267"/>
      <c r="S31" s="10"/>
      <c r="T31" s="8"/>
      <c r="U31">
        <f t="shared" si="1"/>
        <v>4.5</v>
      </c>
    </row>
    <row r="32" spans="1:21" ht="20.25" customHeight="1">
      <c r="A32" s="6"/>
      <c r="B32" s="32" t="s">
        <v>249</v>
      </c>
      <c r="C32" s="249" t="str">
        <f>"جمع "&amp;C16</f>
        <v>جمع  داربست به صورت چهارپایه متحرک(چرخدار) و ثابت به همراه لوله و اجرت نصب</v>
      </c>
      <c r="D32" s="250"/>
      <c r="E32" s="250"/>
      <c r="F32" s="250"/>
      <c r="G32" s="250"/>
      <c r="H32" s="250"/>
      <c r="I32" s="250"/>
      <c r="J32" s="250"/>
      <c r="K32" s="250"/>
      <c r="L32" s="250"/>
      <c r="M32" s="251"/>
      <c r="N32" s="383"/>
      <c r="O32" s="384"/>
      <c r="P32" s="252">
        <f>SUM(N17:O31)</f>
        <v>15</v>
      </c>
      <c r="Q32" s="253"/>
      <c r="R32" s="254"/>
      <c r="S32" s="10"/>
      <c r="T32" s="8"/>
    </row>
    <row r="33" spans="1:23" ht="3" hidden="1" customHeight="1">
      <c r="A33" s="6"/>
      <c r="S33" s="10"/>
      <c r="T33" s="8"/>
    </row>
    <row r="34" spans="1:23" ht="21.75" hidden="1" customHeight="1">
      <c r="A34" s="6"/>
      <c r="B34" s="44">
        <v>3</v>
      </c>
      <c r="C34" s="255">
        <f>+VLOOKUP(B34,'خلاصه مالی'!$D$11:$G$18,2,)</f>
        <v>0</v>
      </c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78" t="s">
        <v>102</v>
      </c>
      <c r="Q34" s="278"/>
      <c r="R34" s="278"/>
      <c r="S34" s="10"/>
      <c r="T34" s="8"/>
    </row>
    <row r="35" spans="1:23" ht="24.75" hidden="1" customHeight="1">
      <c r="A35" s="6"/>
      <c r="B35" s="32" t="s">
        <v>279</v>
      </c>
      <c r="C35" s="249" t="str">
        <f>"جمع "&amp;C34</f>
        <v>جمع 0</v>
      </c>
      <c r="D35" s="250"/>
      <c r="E35" s="250"/>
      <c r="F35" s="250"/>
      <c r="G35" s="250"/>
      <c r="H35" s="250"/>
      <c r="I35" s="250"/>
      <c r="J35" s="250"/>
      <c r="K35" s="250"/>
      <c r="L35" s="250"/>
      <c r="M35" s="251"/>
      <c r="N35" s="385"/>
      <c r="O35" s="385"/>
      <c r="P35" s="279">
        <f>SUM(N35:O35)</f>
        <v>0</v>
      </c>
      <c r="Q35" s="279"/>
      <c r="R35" s="279"/>
      <c r="S35" s="10"/>
      <c r="T35" s="8"/>
    </row>
    <row r="36" spans="1:23" ht="9.75" hidden="1" customHeight="1">
      <c r="A36" s="6"/>
      <c r="B36" s="32"/>
      <c r="S36" s="10"/>
      <c r="T36" s="8"/>
    </row>
    <row r="37" spans="1:23" ht="21.75" hidden="1" customHeight="1">
      <c r="A37" s="6"/>
      <c r="B37" s="32" t="s">
        <v>175</v>
      </c>
      <c r="C37" s="255" t="s">
        <v>108</v>
      </c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78" t="s">
        <v>102</v>
      </c>
      <c r="Q37" s="278"/>
      <c r="R37" s="278"/>
      <c r="S37" s="10"/>
      <c r="T37" s="8"/>
    </row>
    <row r="38" spans="1:23" ht="25.5" hidden="1" customHeight="1">
      <c r="A38" s="6"/>
      <c r="B38" s="32" t="s">
        <v>107</v>
      </c>
      <c r="C38" s="48" t="s">
        <v>80</v>
      </c>
      <c r="D38" s="49"/>
      <c r="E38" s="35"/>
      <c r="F38" s="280"/>
      <c r="G38" s="281"/>
      <c r="H38" s="282"/>
      <c r="I38" s="373"/>
      <c r="J38" s="373"/>
      <c r="K38" s="373"/>
      <c r="L38" s="373"/>
      <c r="M38" s="373"/>
      <c r="N38" s="375">
        <f t="shared" ref="N38" si="3">IF(AND(I38=0,J38=0,K38=0,L38=0,M38=0),0,ROUND(IF(I38=0,1,I38)*IF(J38=0,1,J38)*IF(K38=0,1,K38)*IF(L38=0,1,L38)*IF(M38=0,1,M38),2))</f>
        <v>0</v>
      </c>
      <c r="O38" s="375"/>
      <c r="P38" s="275"/>
      <c r="Q38" s="276"/>
      <c r="R38" s="277"/>
      <c r="S38" s="10"/>
      <c r="T38" s="8"/>
    </row>
    <row r="39" spans="1:23" ht="24.75" hidden="1" customHeight="1">
      <c r="A39" s="6"/>
      <c r="B39" s="32" t="s">
        <v>136</v>
      </c>
      <c r="C39" s="249" t="str">
        <f>"جمع "&amp;C37</f>
        <v>جمع نصب کف شوی خطی</v>
      </c>
      <c r="D39" s="250"/>
      <c r="E39" s="250"/>
      <c r="F39" s="250"/>
      <c r="G39" s="250"/>
      <c r="H39" s="250"/>
      <c r="I39" s="250"/>
      <c r="J39" s="250"/>
      <c r="K39" s="250"/>
      <c r="L39" s="250"/>
      <c r="M39" s="251"/>
      <c r="N39" s="385"/>
      <c r="O39" s="385"/>
      <c r="P39" s="279">
        <f>SUM(N37:O39)</f>
        <v>0</v>
      </c>
      <c r="Q39" s="279"/>
      <c r="R39" s="279"/>
      <c r="S39" s="10"/>
      <c r="T39" s="8"/>
    </row>
    <row r="40" spans="1:23" ht="3" customHeight="1">
      <c r="A40" s="6"/>
      <c r="P40" s="27">
        <f>SUM(P17:R31)</f>
        <v>0</v>
      </c>
      <c r="S40" s="10"/>
      <c r="T40" s="8"/>
    </row>
    <row r="41" spans="1:23" ht="24.75" customHeight="1">
      <c r="A41" s="6"/>
      <c r="B41" s="47">
        <v>3</v>
      </c>
      <c r="C41" s="255" t="s">
        <v>438</v>
      </c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78" t="s">
        <v>102</v>
      </c>
      <c r="Q41" s="278"/>
      <c r="R41" s="278"/>
      <c r="S41" s="10"/>
      <c r="T41" s="8"/>
    </row>
    <row r="42" spans="1:23" ht="22.5" customHeight="1">
      <c r="A42" s="6"/>
      <c r="B42" s="32" t="s">
        <v>448</v>
      </c>
      <c r="C42" s="48" t="s">
        <v>80</v>
      </c>
      <c r="D42" s="49" t="s">
        <v>427</v>
      </c>
      <c r="E42" s="176" t="s">
        <v>430</v>
      </c>
      <c r="F42" s="268" t="s">
        <v>475</v>
      </c>
      <c r="G42" s="269"/>
      <c r="H42" s="270"/>
      <c r="I42" s="373">
        <v>3</v>
      </c>
      <c r="J42" s="373">
        <v>3</v>
      </c>
      <c r="K42" s="373">
        <v>4.5</v>
      </c>
      <c r="L42" s="373">
        <v>0</v>
      </c>
      <c r="M42" s="373">
        <v>0</v>
      </c>
      <c r="N42" s="375">
        <f>I42</f>
        <v>3</v>
      </c>
      <c r="O42" s="375"/>
      <c r="P42" s="265"/>
      <c r="Q42" s="266"/>
      <c r="R42" s="267"/>
      <c r="S42" s="10"/>
      <c r="T42" s="8"/>
    </row>
    <row r="43" spans="1:23" ht="22.5" customHeight="1">
      <c r="A43" s="6"/>
      <c r="B43" s="32" t="s">
        <v>449</v>
      </c>
      <c r="C43" s="48" t="s">
        <v>80</v>
      </c>
      <c r="D43" s="49" t="s">
        <v>427</v>
      </c>
      <c r="E43" s="176" t="s">
        <v>439</v>
      </c>
      <c r="F43" s="272" t="s">
        <v>475</v>
      </c>
      <c r="G43" s="273"/>
      <c r="H43" s="274"/>
      <c r="I43" s="373">
        <v>3</v>
      </c>
      <c r="J43" s="373">
        <v>3</v>
      </c>
      <c r="K43" s="373">
        <v>5</v>
      </c>
      <c r="L43" s="373">
        <v>0</v>
      </c>
      <c r="M43" s="373">
        <v>0</v>
      </c>
      <c r="N43" s="375">
        <f t="shared" ref="N43:N48" si="4">I43</f>
        <v>3</v>
      </c>
      <c r="O43" s="375"/>
      <c r="P43" s="275"/>
      <c r="Q43" s="276"/>
      <c r="R43" s="277"/>
      <c r="S43" s="10"/>
      <c r="T43" s="8"/>
    </row>
    <row r="44" spans="1:23" ht="22.5" customHeight="1">
      <c r="A44" s="6"/>
      <c r="B44" s="32" t="s">
        <v>450</v>
      </c>
      <c r="C44" s="48" t="s">
        <v>80</v>
      </c>
      <c r="D44" s="49" t="s">
        <v>427</v>
      </c>
      <c r="E44" s="176" t="s">
        <v>440</v>
      </c>
      <c r="F44" s="272" t="s">
        <v>475</v>
      </c>
      <c r="G44" s="273"/>
      <c r="H44" s="274"/>
      <c r="I44" s="373">
        <v>1</v>
      </c>
      <c r="J44" s="373">
        <v>3</v>
      </c>
      <c r="K44" s="373">
        <v>5</v>
      </c>
      <c r="L44" s="373">
        <v>0</v>
      </c>
      <c r="M44" s="373">
        <v>0</v>
      </c>
      <c r="N44" s="375">
        <f t="shared" si="4"/>
        <v>1</v>
      </c>
      <c r="O44" s="375"/>
      <c r="P44" s="275"/>
      <c r="Q44" s="276"/>
      <c r="R44" s="277"/>
      <c r="S44" s="10"/>
      <c r="T44" s="8"/>
    </row>
    <row r="45" spans="1:23" ht="27.75" customHeight="1">
      <c r="A45" s="6"/>
      <c r="B45" s="32" t="s">
        <v>451</v>
      </c>
      <c r="C45" s="48" t="s">
        <v>80</v>
      </c>
      <c r="D45" s="49" t="s">
        <v>427</v>
      </c>
      <c r="E45" s="176" t="s">
        <v>431</v>
      </c>
      <c r="F45" s="272" t="s">
        <v>475</v>
      </c>
      <c r="G45" s="273"/>
      <c r="H45" s="274"/>
      <c r="I45" s="373">
        <v>1</v>
      </c>
      <c r="J45" s="373">
        <v>3.5</v>
      </c>
      <c r="K45" s="373">
        <v>5</v>
      </c>
      <c r="L45" s="373">
        <v>0</v>
      </c>
      <c r="M45" s="373">
        <v>0</v>
      </c>
      <c r="N45" s="375">
        <f t="shared" si="4"/>
        <v>1</v>
      </c>
      <c r="O45" s="375"/>
      <c r="P45" s="275"/>
      <c r="Q45" s="276"/>
      <c r="R45" s="277"/>
      <c r="S45" s="10"/>
      <c r="T45" s="8"/>
    </row>
    <row r="46" spans="1:23" ht="22.5" customHeight="1">
      <c r="A46" s="6"/>
      <c r="B46" s="32" t="s">
        <v>452</v>
      </c>
      <c r="C46" s="48" t="s">
        <v>80</v>
      </c>
      <c r="D46" s="49" t="s">
        <v>444</v>
      </c>
      <c r="E46" s="176" t="s">
        <v>441</v>
      </c>
      <c r="F46" s="272" t="s">
        <v>476</v>
      </c>
      <c r="G46" s="273"/>
      <c r="H46" s="274"/>
      <c r="I46" s="373">
        <v>1</v>
      </c>
      <c r="J46" s="373">
        <v>3</v>
      </c>
      <c r="K46" s="373">
        <v>6</v>
      </c>
      <c r="L46" s="373">
        <v>3</v>
      </c>
      <c r="M46" s="373">
        <v>0</v>
      </c>
      <c r="N46" s="375">
        <f t="shared" si="4"/>
        <v>1</v>
      </c>
      <c r="O46" s="375"/>
      <c r="P46" s="275"/>
      <c r="Q46" s="276"/>
      <c r="R46" s="277"/>
      <c r="S46" s="10"/>
      <c r="T46" s="8"/>
    </row>
    <row r="47" spans="1:23" ht="22.5" customHeight="1">
      <c r="A47" s="6"/>
      <c r="B47" s="32" t="s">
        <v>453</v>
      </c>
      <c r="C47" s="48" t="s">
        <v>80</v>
      </c>
      <c r="D47" s="49" t="s">
        <v>444</v>
      </c>
      <c r="E47" s="176" t="s">
        <v>435</v>
      </c>
      <c r="F47" s="272" t="s">
        <v>476</v>
      </c>
      <c r="G47" s="273"/>
      <c r="H47" s="170"/>
      <c r="I47" s="373">
        <v>1</v>
      </c>
      <c r="J47" s="373">
        <v>3</v>
      </c>
      <c r="K47" s="373">
        <v>6</v>
      </c>
      <c r="L47" s="373">
        <v>3</v>
      </c>
      <c r="M47" s="373">
        <v>0</v>
      </c>
      <c r="N47" s="376">
        <v>1</v>
      </c>
      <c r="O47" s="377"/>
      <c r="P47" s="167"/>
      <c r="Q47" s="168"/>
      <c r="R47" s="169"/>
      <c r="S47" s="10"/>
      <c r="T47" s="8"/>
    </row>
    <row r="48" spans="1:23" ht="30" customHeight="1">
      <c r="A48" s="6"/>
      <c r="B48" s="32" t="s">
        <v>454</v>
      </c>
      <c r="C48" s="48" t="s">
        <v>80</v>
      </c>
      <c r="D48" s="49" t="s">
        <v>444</v>
      </c>
      <c r="E48" s="176" t="s">
        <v>435</v>
      </c>
      <c r="F48" s="272" t="s">
        <v>476</v>
      </c>
      <c r="G48" s="273"/>
      <c r="H48" s="274"/>
      <c r="I48" s="373">
        <v>1</v>
      </c>
      <c r="J48" s="373">
        <v>4</v>
      </c>
      <c r="K48" s="373">
        <v>6</v>
      </c>
      <c r="L48" s="373">
        <v>3.5</v>
      </c>
      <c r="M48" s="373">
        <v>0</v>
      </c>
      <c r="N48" s="375">
        <f t="shared" si="4"/>
        <v>1</v>
      </c>
      <c r="O48" s="375"/>
      <c r="P48" s="275"/>
      <c r="Q48" s="276"/>
      <c r="R48" s="277"/>
      <c r="S48" s="10"/>
      <c r="T48" s="8"/>
      <c r="W48">
        <f>+J48*I48</f>
        <v>4</v>
      </c>
    </row>
    <row r="49" spans="1:24" ht="20.25" customHeight="1">
      <c r="A49" s="6"/>
      <c r="B49" s="32" t="s">
        <v>477</v>
      </c>
      <c r="C49" s="249" t="str">
        <f>"جمع "&amp;C41</f>
        <v>جمع بستن داربست به صورت اجرتی ثابت زیر صدمتر / کفراژ و نمایی</v>
      </c>
      <c r="D49" s="250"/>
      <c r="E49" s="250"/>
      <c r="F49" s="250"/>
      <c r="G49" s="250"/>
      <c r="H49" s="250"/>
      <c r="I49" s="250"/>
      <c r="J49" s="250"/>
      <c r="K49" s="250"/>
      <c r="L49" s="250"/>
      <c r="M49" s="251"/>
      <c r="N49" s="383"/>
      <c r="O49" s="384"/>
      <c r="P49" s="252">
        <f>SUM(N42:O48)</f>
        <v>11</v>
      </c>
      <c r="Q49" s="253"/>
      <c r="R49" s="254"/>
      <c r="S49" s="10"/>
      <c r="T49" s="8"/>
      <c r="W49">
        <f>+SUM(W48:W48)</f>
        <v>4</v>
      </c>
      <c r="X49" t="e">
        <f>+SUM(#REF!)</f>
        <v>#REF!</v>
      </c>
    </row>
    <row r="50" spans="1:24" ht="9.75" hidden="1" customHeight="1">
      <c r="A50" s="6"/>
      <c r="B50" s="32" t="s">
        <v>390</v>
      </c>
      <c r="S50" s="10"/>
      <c r="T50" s="8"/>
    </row>
    <row r="51" spans="1:24" ht="21.75" hidden="1" customHeight="1">
      <c r="A51" s="6"/>
      <c r="B51" s="32" t="s">
        <v>391</v>
      </c>
      <c r="C51" s="255" t="s">
        <v>123</v>
      </c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78" t="s">
        <v>72</v>
      </c>
      <c r="Q51" s="278"/>
      <c r="R51" s="278"/>
      <c r="S51" s="10"/>
      <c r="T51" s="8"/>
    </row>
    <row r="52" spans="1:24" ht="25.5" hidden="1" customHeight="1">
      <c r="A52" s="6"/>
      <c r="B52" s="32" t="s">
        <v>392</v>
      </c>
      <c r="C52" s="87" t="s">
        <v>80</v>
      </c>
      <c r="D52" s="88" t="s">
        <v>130</v>
      </c>
      <c r="E52" s="35" t="s">
        <v>125</v>
      </c>
      <c r="F52" s="280"/>
      <c r="G52" s="281"/>
      <c r="H52" s="282"/>
      <c r="I52" s="373"/>
      <c r="J52" s="373">
        <v>2</v>
      </c>
      <c r="K52" s="373">
        <f>0.1*3+0.28*3+1.31*2+1.61*2</f>
        <v>6.98</v>
      </c>
      <c r="L52" s="373"/>
      <c r="M52" s="373">
        <v>2.12</v>
      </c>
      <c r="N52" s="376">
        <f t="shared" ref="N52" si="5">IF(AND(I52=0,J52=0,K52=0,L52=0,M52=0),0,ROUND(IF(I52=0,1,I52)*IF(J52=0,1,J52)*IF(K52=0,1,K52)*IF(L52=0,1,L52)*IF(M52=0,1,M52),2))</f>
        <v>29.6</v>
      </c>
      <c r="O52" s="377"/>
      <c r="P52" s="275"/>
      <c r="Q52" s="276"/>
      <c r="R52" s="277"/>
      <c r="S52" s="10"/>
      <c r="T52" s="8"/>
    </row>
    <row r="53" spans="1:24" ht="25.5" hidden="1" customHeight="1">
      <c r="A53" s="6"/>
      <c r="B53" s="32" t="s">
        <v>393</v>
      </c>
      <c r="C53" s="87" t="s">
        <v>80</v>
      </c>
      <c r="D53" s="88" t="s">
        <v>130</v>
      </c>
      <c r="E53" s="35" t="s">
        <v>126</v>
      </c>
      <c r="F53" s="280"/>
      <c r="G53" s="281"/>
      <c r="H53" s="282"/>
      <c r="I53" s="373"/>
      <c r="J53" s="373"/>
      <c r="K53" s="373">
        <f>3.1*2+1.3*2</f>
        <v>8.8000000000000007</v>
      </c>
      <c r="L53" s="373"/>
      <c r="M53" s="373">
        <v>2.12</v>
      </c>
      <c r="N53" s="376">
        <f t="shared" ref="N53" si="6">IF(AND(I53=0,J53=0,K53=0,L53=0,M53=0),0,ROUND(IF(I53=0,1,I53)*IF(J53=0,1,J53)*IF(K53=0,1,K53)*IF(L53=0,1,L53)*IF(M53=0,1,M53),2))</f>
        <v>18.66</v>
      </c>
      <c r="O53" s="377"/>
      <c r="P53" s="275"/>
      <c r="Q53" s="276"/>
      <c r="R53" s="277"/>
      <c r="S53" s="10"/>
      <c r="T53" s="8"/>
    </row>
    <row r="54" spans="1:24" ht="25.5" hidden="1" customHeight="1">
      <c r="A54" s="6"/>
      <c r="B54" s="32" t="s">
        <v>394</v>
      </c>
      <c r="C54" s="87" t="s">
        <v>80</v>
      </c>
      <c r="D54" s="88" t="s">
        <v>130</v>
      </c>
      <c r="E54" s="35" t="s">
        <v>126</v>
      </c>
      <c r="F54" s="280" t="s">
        <v>127</v>
      </c>
      <c r="G54" s="281"/>
      <c r="H54" s="282"/>
      <c r="I54" s="373"/>
      <c r="J54" s="373">
        <v>-1</v>
      </c>
      <c r="K54" s="373">
        <v>0.94</v>
      </c>
      <c r="L54" s="373"/>
      <c r="M54" s="373">
        <v>2.12</v>
      </c>
      <c r="N54" s="376">
        <f t="shared" ref="N54" si="7">IF(AND(I54=0,J54=0,K54=0,L54=0,M54=0),0,ROUND(IF(I54=0,1,I54)*IF(J54=0,1,J54)*IF(K54=0,1,K54)*IF(L54=0,1,L54)*IF(M54=0,1,M54),2))</f>
        <v>-1.99</v>
      </c>
      <c r="O54" s="377"/>
      <c r="P54" s="275"/>
      <c r="Q54" s="276"/>
      <c r="R54" s="277"/>
      <c r="S54" s="10"/>
      <c r="T54" s="8"/>
    </row>
    <row r="55" spans="1:24" ht="25.5" hidden="1" customHeight="1">
      <c r="A55" s="6"/>
      <c r="B55" s="32" t="s">
        <v>395</v>
      </c>
      <c r="C55" s="87" t="s">
        <v>80</v>
      </c>
      <c r="D55" s="88" t="s">
        <v>122</v>
      </c>
      <c r="E55" s="35" t="s">
        <v>124</v>
      </c>
      <c r="F55" s="280"/>
      <c r="G55" s="281"/>
      <c r="H55" s="282"/>
      <c r="I55" s="373"/>
      <c r="J55" s="373">
        <v>2</v>
      </c>
      <c r="K55" s="373">
        <f>1.3+0.73+1.62*4+1.32*2+0.28*2+0.11*4+0.25+0.11</f>
        <v>12.510000000000002</v>
      </c>
      <c r="L55" s="373"/>
      <c r="M55" s="373">
        <v>2.12</v>
      </c>
      <c r="N55" s="375">
        <f t="shared" ref="N55" si="8">IF(AND(I55=0,J55=0,K55=0,L55=0,M55=0),0,ROUND(IF(I55=0,1,I55)*IF(J55=0,1,J55)*IF(K55=0,1,K55)*IF(L55=0,1,L55)*IF(M55=0,1,M55),2))</f>
        <v>53.04</v>
      </c>
      <c r="O55" s="375"/>
      <c r="P55" s="275"/>
      <c r="Q55" s="276"/>
      <c r="R55" s="277"/>
      <c r="S55" s="10"/>
      <c r="T55" s="8"/>
    </row>
    <row r="56" spans="1:24" ht="24.75" hidden="1" customHeight="1">
      <c r="A56" s="6"/>
      <c r="B56" s="32" t="s">
        <v>396</v>
      </c>
      <c r="C56" s="249" t="str">
        <f>"جمع "&amp;C51</f>
        <v>جمع نصب سرامیک بدنه به ابعاد 20*20 با بند 4 میلیمتری به وسیله چسب کاشی</v>
      </c>
      <c r="D56" s="250"/>
      <c r="E56" s="250"/>
      <c r="F56" s="250"/>
      <c r="G56" s="250"/>
      <c r="H56" s="250"/>
      <c r="I56" s="250"/>
      <c r="J56" s="250"/>
      <c r="K56" s="250"/>
      <c r="L56" s="250"/>
      <c r="M56" s="251"/>
      <c r="N56" s="385"/>
      <c r="O56" s="385"/>
      <c r="P56" s="279">
        <f>SUM(N51:O56)</f>
        <v>99.31</v>
      </c>
      <c r="Q56" s="279"/>
      <c r="R56" s="279"/>
      <c r="S56" s="10"/>
      <c r="T56" s="8"/>
    </row>
    <row r="57" spans="1:24" ht="3" customHeight="1">
      <c r="A57" s="6"/>
      <c r="S57" s="10"/>
      <c r="T57" s="8"/>
    </row>
    <row r="58" spans="1:24" ht="18.75" customHeight="1">
      <c r="A58" s="6"/>
      <c r="B58" s="53">
        <v>4</v>
      </c>
      <c r="C58" s="255" t="s">
        <v>445</v>
      </c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78" t="s">
        <v>102</v>
      </c>
      <c r="Q58" s="278"/>
      <c r="R58" s="278"/>
      <c r="S58" s="10"/>
      <c r="T58" s="8"/>
      <c r="W58">
        <f>+W49/6</f>
        <v>0.66666666666666663</v>
      </c>
      <c r="X58" t="e">
        <f>+X49/6</f>
        <v>#REF!</v>
      </c>
    </row>
    <row r="59" spans="1:24" ht="22.5" customHeight="1">
      <c r="A59" s="6"/>
      <c r="B59" s="32" t="s">
        <v>107</v>
      </c>
      <c r="C59" s="48" t="s">
        <v>80</v>
      </c>
      <c r="D59" s="49" t="s">
        <v>447</v>
      </c>
      <c r="E59" s="176" t="s">
        <v>446</v>
      </c>
      <c r="F59" s="268" t="s">
        <v>475</v>
      </c>
      <c r="G59" s="269"/>
      <c r="H59" s="270"/>
      <c r="I59" s="373">
        <v>1</v>
      </c>
      <c r="J59" s="373">
        <v>3.5</v>
      </c>
      <c r="K59" s="373">
        <v>14</v>
      </c>
      <c r="L59" s="373">
        <v>0</v>
      </c>
      <c r="M59" s="373">
        <v>0</v>
      </c>
      <c r="N59" s="375">
        <f>I59</f>
        <v>1</v>
      </c>
      <c r="O59" s="375"/>
      <c r="P59" s="265"/>
      <c r="Q59" s="266"/>
      <c r="R59" s="267"/>
      <c r="S59" s="10"/>
      <c r="T59" s="8"/>
    </row>
    <row r="60" spans="1:24" ht="22.5" customHeight="1">
      <c r="A60" s="6"/>
      <c r="B60" s="32" t="s">
        <v>136</v>
      </c>
      <c r="C60" s="48" t="s">
        <v>80</v>
      </c>
      <c r="D60" s="180" t="s">
        <v>427</v>
      </c>
      <c r="E60" s="176" t="s">
        <v>439</v>
      </c>
      <c r="F60" s="301" t="s">
        <v>475</v>
      </c>
      <c r="G60" s="301"/>
      <c r="H60" s="301"/>
      <c r="I60" s="373">
        <v>1</v>
      </c>
      <c r="J60" s="373">
        <v>3</v>
      </c>
      <c r="K60" s="373">
        <v>2</v>
      </c>
      <c r="L60" s="373">
        <v>5</v>
      </c>
      <c r="M60" s="373">
        <v>0</v>
      </c>
      <c r="N60" s="375">
        <f t="shared" ref="N60:N63" si="9">I60</f>
        <v>1</v>
      </c>
      <c r="O60" s="375"/>
      <c r="P60" s="302"/>
      <c r="Q60" s="302"/>
      <c r="R60" s="302"/>
      <c r="S60" s="10"/>
      <c r="T60" s="8"/>
    </row>
    <row r="61" spans="1:24" ht="22.5" customHeight="1">
      <c r="A61" s="6"/>
      <c r="B61" s="32" t="s">
        <v>298</v>
      </c>
      <c r="C61" s="48" t="s">
        <v>80</v>
      </c>
      <c r="D61" s="180" t="s">
        <v>427</v>
      </c>
      <c r="E61" s="176" t="s">
        <v>440</v>
      </c>
      <c r="F61" s="301" t="s">
        <v>475</v>
      </c>
      <c r="G61" s="301"/>
      <c r="H61" s="301"/>
      <c r="I61" s="373">
        <v>1</v>
      </c>
      <c r="J61" s="373">
        <v>3</v>
      </c>
      <c r="K61" s="373">
        <v>5</v>
      </c>
      <c r="L61" s="373">
        <v>0</v>
      </c>
      <c r="M61" s="373">
        <v>0</v>
      </c>
      <c r="N61" s="375">
        <f t="shared" si="9"/>
        <v>1</v>
      </c>
      <c r="O61" s="375"/>
      <c r="P61" s="302"/>
      <c r="Q61" s="302"/>
      <c r="R61" s="302"/>
      <c r="S61" s="10"/>
      <c r="T61" s="8"/>
    </row>
    <row r="62" spans="1:24" ht="22.5" customHeight="1">
      <c r="A62" s="6"/>
      <c r="B62" s="32" t="s">
        <v>211</v>
      </c>
      <c r="C62" s="48" t="s">
        <v>80</v>
      </c>
      <c r="D62" s="49" t="s">
        <v>427</v>
      </c>
      <c r="E62" s="176" t="s">
        <v>431</v>
      </c>
      <c r="F62" s="272" t="s">
        <v>475</v>
      </c>
      <c r="G62" s="273"/>
      <c r="H62" s="274"/>
      <c r="I62" s="373">
        <v>1</v>
      </c>
      <c r="J62" s="373">
        <v>3.5</v>
      </c>
      <c r="K62" s="373">
        <v>5</v>
      </c>
      <c r="L62" s="373">
        <v>0</v>
      </c>
      <c r="M62" s="373">
        <v>0</v>
      </c>
      <c r="N62" s="375">
        <f t="shared" si="9"/>
        <v>1</v>
      </c>
      <c r="O62" s="375"/>
      <c r="P62" s="275"/>
      <c r="Q62" s="276"/>
      <c r="R62" s="277"/>
      <c r="S62" s="10"/>
      <c r="T62" s="8"/>
    </row>
    <row r="63" spans="1:24" ht="22.5" customHeight="1">
      <c r="A63" s="6"/>
      <c r="B63" s="32" t="s">
        <v>213</v>
      </c>
      <c r="C63" s="48" t="s">
        <v>80</v>
      </c>
      <c r="D63" s="49" t="s">
        <v>444</v>
      </c>
      <c r="E63" s="176" t="s">
        <v>435</v>
      </c>
      <c r="F63" s="272" t="s">
        <v>478</v>
      </c>
      <c r="G63" s="273"/>
      <c r="H63" s="274"/>
      <c r="I63" s="373">
        <v>1</v>
      </c>
      <c r="J63" s="373">
        <v>24</v>
      </c>
      <c r="K63" s="373">
        <v>1</v>
      </c>
      <c r="L63" s="373">
        <v>0</v>
      </c>
      <c r="M63" s="373">
        <v>0</v>
      </c>
      <c r="N63" s="375">
        <f t="shared" si="9"/>
        <v>1</v>
      </c>
      <c r="O63" s="375"/>
      <c r="P63" s="275"/>
      <c r="Q63" s="276"/>
      <c r="R63" s="277"/>
      <c r="S63" s="10"/>
      <c r="T63" s="8"/>
    </row>
    <row r="64" spans="1:24" ht="20.25" customHeight="1">
      <c r="A64" s="6"/>
      <c r="B64" s="32" t="s">
        <v>215</v>
      </c>
      <c r="C64" s="249" t="str">
        <f>"جمع "&amp;C58</f>
        <v>جمع باز کردن داربست به صورت اجرتی ثابت زیر صد متر /کفراژ نمایی</v>
      </c>
      <c r="D64" s="250"/>
      <c r="E64" s="250"/>
      <c r="F64" s="250"/>
      <c r="G64" s="250"/>
      <c r="H64" s="250"/>
      <c r="I64" s="250"/>
      <c r="J64" s="250"/>
      <c r="K64" s="250"/>
      <c r="L64" s="250"/>
      <c r="M64" s="251"/>
      <c r="N64" s="375" t="str">
        <f>IF(IF(AND(I64=0,J64=0,K64=0,L64=0,M64=0),0,ROUND(IF(I64=0,1,I64)*IF(J64=0,1,J64)*IF(K64=0,1,K64)*IF(L64=0,1,L64)*IF(M64=0,1,M64),2))=0," ",(IF(AND(I64=0,J64=0,K64=0,L64=0,M64=0),0,ROUND(IF(I64=0,1,I64)*IF(J64=0,1,J64)*IF(K64=0,1,K64)*IF(L64=0,1,L64)*IF(M64=0,1,M64),2))))</f>
        <v xml:space="preserve"> </v>
      </c>
      <c r="O64" s="375"/>
      <c r="P64" s="389">
        <f>SUM(N58:O64)</f>
        <v>5</v>
      </c>
      <c r="Q64" s="389"/>
      <c r="R64" s="389"/>
      <c r="S64" s="10"/>
      <c r="T64" s="8"/>
    </row>
    <row r="65" spans="1:20" ht="9.75" hidden="1" customHeight="1">
      <c r="A65" s="6"/>
      <c r="S65" s="10"/>
      <c r="T65" s="8"/>
    </row>
    <row r="66" spans="1:20" ht="21.75" hidden="1" customHeight="1">
      <c r="A66" s="6"/>
      <c r="B66" s="68">
        <v>8</v>
      </c>
      <c r="C66" s="255" t="s">
        <v>131</v>
      </c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78" t="s">
        <v>134</v>
      </c>
      <c r="Q66" s="278"/>
      <c r="R66" s="278"/>
      <c r="S66" s="10"/>
      <c r="T66" s="8"/>
    </row>
    <row r="67" spans="1:20" ht="25.5" hidden="1" customHeight="1">
      <c r="A67" s="6"/>
      <c r="B67" s="32" t="s">
        <v>132</v>
      </c>
      <c r="C67" s="48" t="s">
        <v>80</v>
      </c>
      <c r="D67" s="88" t="s">
        <v>130</v>
      </c>
      <c r="E67" s="289"/>
      <c r="F67" s="290"/>
      <c r="G67" s="290"/>
      <c r="H67" s="291"/>
      <c r="I67" s="373"/>
      <c r="J67" s="380"/>
      <c r="K67" s="373"/>
      <c r="L67" s="373"/>
      <c r="M67" s="373"/>
      <c r="N67" s="287">
        <v>0</v>
      </c>
      <c r="O67" s="287"/>
      <c r="P67" s="275"/>
      <c r="Q67" s="276"/>
      <c r="R67" s="277"/>
      <c r="S67" s="10"/>
      <c r="T67" s="8"/>
    </row>
    <row r="68" spans="1:20" ht="24.75" hidden="1" customHeight="1">
      <c r="A68" s="6"/>
      <c r="B68" s="32" t="s">
        <v>133</v>
      </c>
      <c r="C68" s="249" t="str">
        <f>"جمع "&amp;C66</f>
        <v>جمع هوابند کردن دیوارهای داخلی به وسیله گچ کاری</v>
      </c>
      <c r="D68" s="250"/>
      <c r="E68" s="250"/>
      <c r="F68" s="250"/>
      <c r="G68" s="250"/>
      <c r="H68" s="250"/>
      <c r="I68" s="250"/>
      <c r="J68" s="250"/>
      <c r="K68" s="250"/>
      <c r="L68" s="250"/>
      <c r="M68" s="251"/>
      <c r="N68" s="385"/>
      <c r="O68" s="385"/>
      <c r="P68" s="288">
        <f>SUM(N66:O68)</f>
        <v>0</v>
      </c>
      <c r="Q68" s="288"/>
      <c r="R68" s="288"/>
      <c r="S68" s="10"/>
      <c r="T68" s="8"/>
    </row>
    <row r="69" spans="1:20" ht="3" customHeight="1">
      <c r="A69" s="6"/>
      <c r="S69" s="10"/>
      <c r="T69" s="8"/>
    </row>
    <row r="70" spans="1:20" ht="18.75" customHeight="1">
      <c r="A70" s="6"/>
      <c r="B70" s="91">
        <v>5</v>
      </c>
      <c r="C70" s="255" t="s">
        <v>457</v>
      </c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78" t="s">
        <v>134</v>
      </c>
      <c r="Q70" s="278"/>
      <c r="R70" s="278"/>
      <c r="S70" s="10"/>
      <c r="T70" s="8"/>
    </row>
    <row r="71" spans="1:20" ht="22.5" customHeight="1">
      <c r="A71" s="6"/>
      <c r="B71" s="32" t="s">
        <v>109</v>
      </c>
      <c r="C71" s="48" t="s">
        <v>80</v>
      </c>
      <c r="D71" s="49" t="s">
        <v>434</v>
      </c>
      <c r="E71" s="176" t="s">
        <v>479</v>
      </c>
      <c r="F71" s="272" t="s">
        <v>475</v>
      </c>
      <c r="G71" s="273"/>
      <c r="H71" s="274"/>
      <c r="I71" s="373">
        <v>1</v>
      </c>
      <c r="J71" s="373">
        <v>18</v>
      </c>
      <c r="K71" s="373">
        <v>4</v>
      </c>
      <c r="L71" s="373">
        <v>0</v>
      </c>
      <c r="M71" s="373">
        <v>0</v>
      </c>
      <c r="N71" s="375">
        <v>1</v>
      </c>
      <c r="O71" s="375"/>
      <c r="P71" s="275"/>
      <c r="Q71" s="276"/>
      <c r="R71" s="277"/>
      <c r="S71" s="10"/>
      <c r="T71" s="8"/>
    </row>
    <row r="72" spans="1:20" ht="20.25" customHeight="1">
      <c r="A72" s="6"/>
      <c r="B72" s="32" t="s">
        <v>397</v>
      </c>
      <c r="C72" s="249" t="str">
        <f>"جمع "&amp;C70</f>
        <v>جمع داربست به صورت نمایی و کفراژ زیر 100 متر</v>
      </c>
      <c r="D72" s="250"/>
      <c r="E72" s="250"/>
      <c r="F72" s="250"/>
      <c r="G72" s="250"/>
      <c r="H72" s="250"/>
      <c r="I72" s="250"/>
      <c r="J72" s="250"/>
      <c r="K72" s="250"/>
      <c r="L72" s="250"/>
      <c r="M72" s="251"/>
      <c r="N72" s="385"/>
      <c r="O72" s="385"/>
      <c r="P72" s="271">
        <f>SUM(N70:O72)</f>
        <v>1</v>
      </c>
      <c r="Q72" s="271"/>
      <c r="R72" s="271"/>
      <c r="S72" s="10"/>
      <c r="T72" s="8"/>
    </row>
    <row r="73" spans="1:20" ht="3" customHeight="1">
      <c r="A73" s="6"/>
      <c r="S73" s="10"/>
      <c r="T73" s="8"/>
    </row>
    <row r="74" spans="1:20" ht="21.75" hidden="1" customHeight="1">
      <c r="A74" s="6"/>
      <c r="B74" s="95">
        <v>7</v>
      </c>
      <c r="C74" s="255">
        <f>+VLOOKUP(B74,'خلاصه مالی'!$D$11:$G$18,2,)</f>
        <v>0</v>
      </c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78" t="s">
        <v>134</v>
      </c>
      <c r="Q74" s="278"/>
      <c r="R74" s="278"/>
      <c r="S74" s="10"/>
      <c r="T74" s="8"/>
    </row>
    <row r="75" spans="1:20" ht="17.25" hidden="1" customHeight="1">
      <c r="A75" s="6"/>
      <c r="B75" s="32" t="s">
        <v>128</v>
      </c>
      <c r="C75" s="48"/>
      <c r="D75" s="88"/>
      <c r="E75" s="284"/>
      <c r="F75" s="285"/>
      <c r="G75" s="285"/>
      <c r="H75" s="286"/>
      <c r="I75" s="373"/>
      <c r="J75" s="373"/>
      <c r="K75" s="373"/>
      <c r="L75" s="373"/>
      <c r="M75" s="373"/>
      <c r="N75" s="287">
        <f t="shared" ref="N75" si="10">IF(AND(I75=0,J75=0,K75=0,L75=0,M75=0),0,ROUND(IF(I75=0,1,I75)*IF(J75=0,1,J75)*IF(K75=0,1,K75)*IF(L75=0,1,L75)*IF(M75=0,1,M75),2))</f>
        <v>0</v>
      </c>
      <c r="O75" s="287"/>
      <c r="P75" s="275"/>
      <c r="Q75" s="276"/>
      <c r="R75" s="277"/>
      <c r="S75" s="10"/>
      <c r="T75" s="8"/>
    </row>
    <row r="76" spans="1:20" ht="24.75" hidden="1" customHeight="1">
      <c r="A76" s="6"/>
      <c r="B76" s="32" t="s">
        <v>129</v>
      </c>
      <c r="C76" s="249" t="str">
        <f>"جمع "&amp;C74</f>
        <v>جمع 0</v>
      </c>
      <c r="D76" s="250"/>
      <c r="E76" s="250"/>
      <c r="F76" s="250"/>
      <c r="G76" s="250"/>
      <c r="H76" s="250"/>
      <c r="I76" s="250"/>
      <c r="J76" s="250"/>
      <c r="K76" s="250"/>
      <c r="L76" s="250"/>
      <c r="M76" s="251"/>
      <c r="N76" s="385"/>
      <c r="O76" s="385"/>
      <c r="P76" s="271">
        <f>SUM(N74:O76)</f>
        <v>0</v>
      </c>
      <c r="Q76" s="271"/>
      <c r="R76" s="271"/>
      <c r="S76" s="10"/>
      <c r="T76" s="8"/>
    </row>
    <row r="77" spans="1:20" ht="3" hidden="1" customHeight="1">
      <c r="A77" s="6"/>
      <c r="S77" s="10"/>
      <c r="T77" s="8"/>
    </row>
    <row r="78" spans="1:20" ht="21.75" hidden="1" customHeight="1">
      <c r="A78" s="6"/>
      <c r="B78" s="95">
        <v>8</v>
      </c>
      <c r="C78" s="255">
        <f>+VLOOKUP(B78,'خلاصه مالی'!$D$11:$G$18,2,)</f>
        <v>0</v>
      </c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78" t="s">
        <v>134</v>
      </c>
      <c r="Q78" s="278"/>
      <c r="R78" s="278"/>
      <c r="S78" s="10"/>
      <c r="T78" s="8"/>
    </row>
    <row r="79" spans="1:20" ht="17.25" hidden="1" customHeight="1">
      <c r="A79" s="6"/>
      <c r="B79" s="32" t="s">
        <v>132</v>
      </c>
      <c r="C79" s="48"/>
      <c r="D79" s="88"/>
      <c r="E79" s="284"/>
      <c r="F79" s="285"/>
      <c r="G79" s="285"/>
      <c r="H79" s="286"/>
      <c r="I79" s="373"/>
      <c r="J79" s="373"/>
      <c r="K79" s="373"/>
      <c r="L79" s="373"/>
      <c r="M79" s="373"/>
      <c r="N79" s="287">
        <f t="shared" ref="N79" si="11">IF(AND(I79=0,J79=0,K79=0,L79=0,M79=0),0,ROUND(IF(I79=0,1,I79)*IF(J79=0,1,J79)*IF(K79=0,1,K79)*IF(L79=0,1,L79)*IF(M79=0,1,M79),2))</f>
        <v>0</v>
      </c>
      <c r="O79" s="287"/>
      <c r="P79" s="275"/>
      <c r="Q79" s="276"/>
      <c r="R79" s="277"/>
      <c r="S79" s="10"/>
      <c r="T79" s="8"/>
    </row>
    <row r="80" spans="1:20" ht="24.75" hidden="1" customHeight="1">
      <c r="A80" s="6"/>
      <c r="B80" s="32" t="s">
        <v>133</v>
      </c>
      <c r="C80" s="249" t="str">
        <f>"جمع "&amp;C78</f>
        <v>جمع 0</v>
      </c>
      <c r="D80" s="250"/>
      <c r="E80" s="250"/>
      <c r="F80" s="250"/>
      <c r="G80" s="250"/>
      <c r="H80" s="250"/>
      <c r="I80" s="250"/>
      <c r="J80" s="250"/>
      <c r="K80" s="250"/>
      <c r="L80" s="250"/>
      <c r="M80" s="251"/>
      <c r="N80" s="385"/>
      <c r="O80" s="385"/>
      <c r="P80" s="271">
        <f>SUM(N78:O80)</f>
        <v>0</v>
      </c>
      <c r="Q80" s="271"/>
      <c r="R80" s="271"/>
      <c r="S80" s="10"/>
      <c r="T80" s="8"/>
    </row>
    <row r="81" spans="1:20" ht="3" hidden="1" customHeight="1">
      <c r="A81" s="6"/>
      <c r="S81" s="10"/>
      <c r="T81" s="8"/>
    </row>
    <row r="82" spans="1:20" ht="21.75" hidden="1" customHeight="1">
      <c r="A82" s="6"/>
      <c r="B82" s="95">
        <v>9</v>
      </c>
      <c r="C82" s="255" t="e">
        <f>+VLOOKUP(B82,'خلاصه مالی'!$D$11:$G$18,2,)</f>
        <v>#N/A</v>
      </c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78" t="s">
        <v>134</v>
      </c>
      <c r="Q82" s="278"/>
      <c r="R82" s="278"/>
      <c r="S82" s="10"/>
      <c r="T82" s="8"/>
    </row>
    <row r="83" spans="1:20" ht="17.25" hidden="1" customHeight="1">
      <c r="A83" s="6"/>
      <c r="B83" s="32" t="s">
        <v>137</v>
      </c>
      <c r="C83" s="48"/>
      <c r="D83" s="88"/>
      <c r="E83" s="284"/>
      <c r="F83" s="285"/>
      <c r="G83" s="285"/>
      <c r="H83" s="286"/>
      <c r="I83" s="373"/>
      <c r="J83" s="373"/>
      <c r="K83" s="373"/>
      <c r="L83" s="373"/>
      <c r="M83" s="373"/>
      <c r="N83" s="287">
        <f t="shared" ref="N83" si="12">IF(AND(I83=0,J83=0,K83=0,L83=0,M83=0),0,ROUND(IF(I83=0,1,I83)*IF(J83=0,1,J83)*IF(K83=0,1,K83)*IF(L83=0,1,L83)*IF(M83=0,1,M83),2))</f>
        <v>0</v>
      </c>
      <c r="O83" s="287"/>
      <c r="P83" s="275"/>
      <c r="Q83" s="276"/>
      <c r="R83" s="277"/>
      <c r="S83" s="10"/>
      <c r="T83" s="8"/>
    </row>
    <row r="84" spans="1:20" ht="18.75" customHeight="1">
      <c r="A84" s="6"/>
      <c r="B84" s="144">
        <v>6</v>
      </c>
      <c r="C84" s="255" t="s">
        <v>455</v>
      </c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  <c r="P84" s="278" t="s">
        <v>134</v>
      </c>
      <c r="Q84" s="278"/>
      <c r="R84" s="278"/>
      <c r="S84" s="10"/>
      <c r="T84" s="8"/>
    </row>
    <row r="85" spans="1:20" ht="22.5" customHeight="1">
      <c r="A85" s="6"/>
      <c r="B85" s="32" t="s">
        <v>280</v>
      </c>
      <c r="C85" s="48" t="s">
        <v>322</v>
      </c>
      <c r="D85" s="49" t="s">
        <v>456</v>
      </c>
      <c r="E85" s="176" t="s">
        <v>433</v>
      </c>
      <c r="F85" s="272" t="s">
        <v>480</v>
      </c>
      <c r="G85" s="273"/>
      <c r="H85" s="274"/>
      <c r="I85" s="373">
        <v>1</v>
      </c>
      <c r="J85" s="373">
        <v>2</v>
      </c>
      <c r="K85" s="373">
        <v>6</v>
      </c>
      <c r="L85" s="373">
        <v>50</v>
      </c>
      <c r="M85" s="373">
        <v>0</v>
      </c>
      <c r="N85" s="375">
        <v>1</v>
      </c>
      <c r="O85" s="375"/>
      <c r="P85" s="275"/>
      <c r="Q85" s="276"/>
      <c r="R85" s="277"/>
      <c r="S85" s="10"/>
      <c r="T85" s="8"/>
    </row>
    <row r="86" spans="1:20" ht="20.25" customHeight="1">
      <c r="A86" s="6"/>
      <c r="B86" s="32" t="s">
        <v>281</v>
      </c>
      <c r="C86" s="249" t="str">
        <f>"جمع "&amp;C84</f>
        <v>جمع داربست به صورت چاله آسانسور توافقی</v>
      </c>
      <c r="D86" s="250"/>
      <c r="E86" s="250"/>
      <c r="F86" s="250"/>
      <c r="G86" s="250"/>
      <c r="H86" s="250"/>
      <c r="I86" s="250"/>
      <c r="J86" s="250"/>
      <c r="K86" s="250"/>
      <c r="L86" s="250"/>
      <c r="M86" s="251"/>
      <c r="N86" s="385"/>
      <c r="O86" s="385"/>
      <c r="P86" s="271">
        <f>SUM(N84:O86)</f>
        <v>1</v>
      </c>
      <c r="Q86" s="271"/>
      <c r="R86" s="271"/>
      <c r="S86" s="10"/>
      <c r="T86" s="8"/>
    </row>
  </sheetData>
  <autoFilter ref="B10:R10">
    <filterColumn colId="4" showButton="0"/>
    <filterColumn colId="5" showButton="0"/>
    <filterColumn colId="12" showButton="0"/>
    <filterColumn colId="14" showButton="0"/>
    <filterColumn colId="15" showButton="0"/>
  </autoFilter>
  <mergeCells count="187">
    <mergeCell ref="P49:R49"/>
    <mergeCell ref="F47:G47"/>
    <mergeCell ref="N47:O47"/>
    <mergeCell ref="N18:O18"/>
    <mergeCell ref="N21:O21"/>
    <mergeCell ref="N24:O24"/>
    <mergeCell ref="N26:O26"/>
    <mergeCell ref="N28:O28"/>
    <mergeCell ref="N30:O30"/>
    <mergeCell ref="F30:G30"/>
    <mergeCell ref="F28:G28"/>
    <mergeCell ref="F26:G26"/>
    <mergeCell ref="F24:G24"/>
    <mergeCell ref="C35:M35"/>
    <mergeCell ref="N35:O35"/>
    <mergeCell ref="P35:R35"/>
    <mergeCell ref="F44:H44"/>
    <mergeCell ref="P44:R44"/>
    <mergeCell ref="C37:O37"/>
    <mergeCell ref="P46:R46"/>
    <mergeCell ref="F42:H42"/>
    <mergeCell ref="N42:O42"/>
    <mergeCell ref="P42:R42"/>
    <mergeCell ref="F62:H62"/>
    <mergeCell ref="P62:R62"/>
    <mergeCell ref="F63:H63"/>
    <mergeCell ref="P63:R63"/>
    <mergeCell ref="N62:O62"/>
    <mergeCell ref="N63:O63"/>
    <mergeCell ref="F59:H59"/>
    <mergeCell ref="N59:O59"/>
    <mergeCell ref="P59:R59"/>
    <mergeCell ref="N60:O60"/>
    <mergeCell ref="N61:O61"/>
    <mergeCell ref="F60:H60"/>
    <mergeCell ref="P60:R60"/>
    <mergeCell ref="F61:H61"/>
    <mergeCell ref="P61:R61"/>
    <mergeCell ref="C49:M49"/>
    <mergeCell ref="N49:O49"/>
    <mergeCell ref="C51:O51"/>
    <mergeCell ref="P51:R51"/>
    <mergeCell ref="N48:O48"/>
    <mergeCell ref="P22:R22"/>
    <mergeCell ref="P23:R23"/>
    <mergeCell ref="F25:H25"/>
    <mergeCell ref="N25:O25"/>
    <mergeCell ref="F19:H19"/>
    <mergeCell ref="P31:R31"/>
    <mergeCell ref="N31:O31"/>
    <mergeCell ref="P25:R25"/>
    <mergeCell ref="N27:O27"/>
    <mergeCell ref="P27:R27"/>
    <mergeCell ref="N29:O29"/>
    <mergeCell ref="P29:R29"/>
    <mergeCell ref="B8:E8"/>
    <mergeCell ref="F8:G8"/>
    <mergeCell ref="H8:I8"/>
    <mergeCell ref="K8:L8"/>
    <mergeCell ref="M8:N8"/>
    <mergeCell ref="O8:P8"/>
    <mergeCell ref="Q8:R8"/>
    <mergeCell ref="F10:H10"/>
    <mergeCell ref="N10:O10"/>
    <mergeCell ref="P10:R10"/>
    <mergeCell ref="F45:H45"/>
    <mergeCell ref="P45:R45"/>
    <mergeCell ref="F48:H48"/>
    <mergeCell ref="P48:R48"/>
    <mergeCell ref="N46:O46"/>
    <mergeCell ref="F4:K4"/>
    <mergeCell ref="F5:K5"/>
    <mergeCell ref="L5:N6"/>
    <mergeCell ref="F6:K6"/>
    <mergeCell ref="C16:O16"/>
    <mergeCell ref="P16:R16"/>
    <mergeCell ref="P17:R17"/>
    <mergeCell ref="C34:O34"/>
    <mergeCell ref="P34:R34"/>
    <mergeCell ref="N32:O32"/>
    <mergeCell ref="P32:R32"/>
    <mergeCell ref="C32:M32"/>
    <mergeCell ref="F17:H17"/>
    <mergeCell ref="N17:O17"/>
    <mergeCell ref="F20:H20"/>
    <mergeCell ref="F22:H22"/>
    <mergeCell ref="F23:H23"/>
    <mergeCell ref="F27:H27"/>
    <mergeCell ref="F53:H53"/>
    <mergeCell ref="N53:O53"/>
    <mergeCell ref="P53:R53"/>
    <mergeCell ref="F52:H52"/>
    <mergeCell ref="N52:O52"/>
    <mergeCell ref="P52:R52"/>
    <mergeCell ref="F54:H54"/>
    <mergeCell ref="N54:O54"/>
    <mergeCell ref="P54:R54"/>
    <mergeCell ref="C58:O58"/>
    <mergeCell ref="P58:R58"/>
    <mergeCell ref="C66:O66"/>
    <mergeCell ref="P66:R66"/>
    <mergeCell ref="C56:M56"/>
    <mergeCell ref="N56:O56"/>
    <mergeCell ref="P56:R56"/>
    <mergeCell ref="F55:H55"/>
    <mergeCell ref="N55:O55"/>
    <mergeCell ref="P55:R55"/>
    <mergeCell ref="C76:M76"/>
    <mergeCell ref="N76:O76"/>
    <mergeCell ref="P76:R76"/>
    <mergeCell ref="C72:M72"/>
    <mergeCell ref="N72:O72"/>
    <mergeCell ref="P72:R72"/>
    <mergeCell ref="C64:M64"/>
    <mergeCell ref="N64:O64"/>
    <mergeCell ref="P64:R64"/>
    <mergeCell ref="C70:O70"/>
    <mergeCell ref="P70:R70"/>
    <mergeCell ref="C74:O74"/>
    <mergeCell ref="P74:R74"/>
    <mergeCell ref="E75:H75"/>
    <mergeCell ref="N75:O75"/>
    <mergeCell ref="P75:R75"/>
    <mergeCell ref="N67:O67"/>
    <mergeCell ref="P67:R67"/>
    <mergeCell ref="C68:M68"/>
    <mergeCell ref="N68:O68"/>
    <mergeCell ref="P68:R68"/>
    <mergeCell ref="E67:H67"/>
    <mergeCell ref="C78:O78"/>
    <mergeCell ref="P78:R78"/>
    <mergeCell ref="E79:H79"/>
    <mergeCell ref="N79:O79"/>
    <mergeCell ref="P79:R79"/>
    <mergeCell ref="C80:M80"/>
    <mergeCell ref="N80:O80"/>
    <mergeCell ref="P80:R80"/>
    <mergeCell ref="C82:O82"/>
    <mergeCell ref="P82:R82"/>
    <mergeCell ref="C12:O12"/>
    <mergeCell ref="P12:R12"/>
    <mergeCell ref="F13:H13"/>
    <mergeCell ref="N13:O13"/>
    <mergeCell ref="P13:R13"/>
    <mergeCell ref="F14:H14"/>
    <mergeCell ref="N14:O14"/>
    <mergeCell ref="P14:R14"/>
    <mergeCell ref="N43:O43"/>
    <mergeCell ref="C41:O41"/>
    <mergeCell ref="P41:R41"/>
    <mergeCell ref="F43:H43"/>
    <mergeCell ref="P43:R43"/>
    <mergeCell ref="P39:R39"/>
    <mergeCell ref="P37:R37"/>
    <mergeCell ref="F38:H38"/>
    <mergeCell ref="N38:O38"/>
    <mergeCell ref="P38:R38"/>
    <mergeCell ref="C39:M39"/>
    <mergeCell ref="N39:O39"/>
    <mergeCell ref="F29:H29"/>
    <mergeCell ref="F31:H31"/>
    <mergeCell ref="P19:R19"/>
    <mergeCell ref="P20:R20"/>
    <mergeCell ref="C15:M15"/>
    <mergeCell ref="N15:O15"/>
    <mergeCell ref="P15:R15"/>
    <mergeCell ref="C84:O84"/>
    <mergeCell ref="C86:M86"/>
    <mergeCell ref="N20:O20"/>
    <mergeCell ref="N22:O22"/>
    <mergeCell ref="N23:O23"/>
    <mergeCell ref="N19:O19"/>
    <mergeCell ref="N44:O44"/>
    <mergeCell ref="N45:O45"/>
    <mergeCell ref="N86:O86"/>
    <mergeCell ref="P86:R86"/>
    <mergeCell ref="F71:H71"/>
    <mergeCell ref="N71:O71"/>
    <mergeCell ref="P71:R71"/>
    <mergeCell ref="P84:R84"/>
    <mergeCell ref="F46:H46"/>
    <mergeCell ref="F85:H85"/>
    <mergeCell ref="N85:O85"/>
    <mergeCell ref="P85:R85"/>
    <mergeCell ref="E83:H83"/>
    <mergeCell ref="N83:O83"/>
    <mergeCell ref="P83:R83"/>
  </mergeCells>
  <printOptions horizontalCentered="1" headings="1" gridLines="1"/>
  <pageMargins left="0.196850393700787" right="7.8740157480315001E-2" top="0.196850393700787" bottom="0.78740157480314998" header="1.2992125984252001" footer="0.47244094488188998"/>
  <pageSetup paperSize="9" scale="95" orientation="portrait" r:id="rId1"/>
  <headerFooter>
    <oddHeader xml:space="preserve">&amp;L&amp;"B Nazanin,Regular"&amp;9            &amp;Pاز&amp;N      </oddHeader>
    <oddFooter>&amp;C&amp;"B Nazanin,Regular"&amp;10                                     تأیید کننده:&amp;R&amp;"B Nazanin,Regular"&amp;10                                        پیمانکار:</oddFooter>
  </headerFooter>
  <colBreaks count="1" manualBreakCount="1">
    <brk id="19" min="1" max="7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W64"/>
  <sheetViews>
    <sheetView rightToLeft="1" view="pageBreakPreview" zoomScale="115" zoomScaleNormal="85" zoomScaleSheetLayoutView="115" zoomScalePageLayoutView="85" workbookViewId="0">
      <selection activeCell="Q58" sqref="Q58:S58"/>
    </sheetView>
    <sheetView rightToLeft="1" workbookViewId="1"/>
  </sheetViews>
  <sheetFormatPr defaultRowHeight="15"/>
  <cols>
    <col min="3" max="4" width="0.875" customWidth="1"/>
    <col min="5" max="5" width="3.625" customWidth="1"/>
    <col min="6" max="6" width="11.75" customWidth="1"/>
    <col min="7" max="7" width="7.125" customWidth="1"/>
    <col min="8" max="8" width="5.125" customWidth="1"/>
    <col min="9" max="9" width="5" customWidth="1"/>
    <col min="10" max="10" width="4.25" customWidth="1"/>
    <col min="11" max="11" width="5" bestFit="1" customWidth="1"/>
    <col min="12" max="12" width="7.125" style="86" customWidth="1"/>
    <col min="13" max="13" width="5.375" style="86" customWidth="1"/>
    <col min="14" max="14" width="6.375" style="86" customWidth="1"/>
    <col min="15" max="15" width="3" style="24" customWidth="1"/>
    <col min="16" max="16" width="4.375" style="24" customWidth="1"/>
    <col min="17" max="17" width="6.375" customWidth="1"/>
    <col min="18" max="18" width="9.125" customWidth="1"/>
    <col min="19" max="19" width="1.25" customWidth="1"/>
    <col min="20" max="20" width="0.875" customWidth="1"/>
    <col min="21" max="21" width="16.25" customWidth="1"/>
    <col min="24" max="24" width="21.75" customWidth="1"/>
    <col min="27" max="27" width="11.125" bestFit="1" customWidth="1"/>
  </cols>
  <sheetData>
    <row r="1" spans="3:23" ht="18">
      <c r="C1" s="3"/>
      <c r="D1" s="3"/>
      <c r="E1" s="3"/>
      <c r="F1" s="3"/>
      <c r="G1" s="3"/>
      <c r="H1" s="3"/>
      <c r="I1" s="3"/>
      <c r="J1" s="3"/>
      <c r="K1" s="3"/>
      <c r="L1" s="71"/>
      <c r="M1" s="71"/>
      <c r="N1" s="71"/>
      <c r="O1" s="20"/>
      <c r="P1" s="20"/>
      <c r="Q1" s="3"/>
      <c r="R1" s="3"/>
      <c r="S1" s="3"/>
    </row>
    <row r="2" spans="3:23" ht="4.5" customHeight="1" thickBot="1">
      <c r="C2" s="72"/>
      <c r="D2" s="7"/>
      <c r="E2" s="7"/>
      <c r="F2" s="7"/>
      <c r="G2" s="7"/>
      <c r="H2" s="7"/>
      <c r="I2" s="7"/>
      <c r="J2" s="7"/>
      <c r="K2" s="7"/>
      <c r="L2" s="73"/>
      <c r="M2" s="73"/>
      <c r="N2" s="73"/>
      <c r="O2" s="21"/>
      <c r="P2" s="21"/>
      <c r="Q2" s="7"/>
      <c r="R2" s="7"/>
      <c r="S2" s="7"/>
      <c r="T2" s="8"/>
      <c r="U2" s="8"/>
    </row>
    <row r="3" spans="3:23" ht="9" customHeight="1">
      <c r="C3" s="74"/>
      <c r="D3" s="4"/>
      <c r="E3" s="5"/>
      <c r="F3" s="5"/>
      <c r="G3" s="5"/>
      <c r="H3" s="5"/>
      <c r="I3" s="5"/>
      <c r="J3" s="5"/>
      <c r="K3" s="5"/>
      <c r="L3" s="75"/>
      <c r="M3" s="75"/>
      <c r="N3" s="75"/>
      <c r="O3" s="22"/>
      <c r="P3" s="22"/>
      <c r="Q3" s="5"/>
      <c r="R3" s="5"/>
      <c r="S3" s="5"/>
      <c r="T3" s="9"/>
      <c r="U3" s="8"/>
    </row>
    <row r="4" spans="3:23" ht="18.75" customHeight="1">
      <c r="C4" s="16"/>
      <c r="D4" s="6"/>
      <c r="E4" s="16"/>
      <c r="F4" s="16"/>
      <c r="H4" s="209" t="str">
        <f>[1]روکش!E3</f>
        <v>شرکت مهندسی و اجراءِ ژالکه</v>
      </c>
      <c r="I4" s="209"/>
      <c r="J4" s="209"/>
      <c r="K4" s="209"/>
      <c r="L4" s="209"/>
      <c r="M4" s="209"/>
      <c r="N4" s="76"/>
      <c r="O4" s="45"/>
      <c r="P4" s="23"/>
      <c r="Q4" s="16"/>
      <c r="R4" s="16"/>
      <c r="S4" s="16"/>
      <c r="T4" s="10"/>
      <c r="U4" s="8"/>
      <c r="V4" s="292">
        <f t="shared" ref="V4" si="0">IF(AND(Q4=0,R4=0,S4=0,T4=0,U4=0),0,ROUND(IF(Q4=0,1,Q4)*IF(R4=0,1,R4)*IF(S4=0,1,S4)*IF(T4=0,1,T4)*IF(U4=0,1,U4),2))</f>
        <v>0</v>
      </c>
      <c r="W4" s="293"/>
    </row>
    <row r="5" spans="3:23" ht="18.75" customHeight="1">
      <c r="C5" s="16"/>
      <c r="D5" s="6"/>
      <c r="E5" s="16"/>
      <c r="F5" s="16"/>
      <c r="H5" s="209" t="str">
        <f>+روکش!F4</f>
        <v>کارگاه پروژه خلیج فارس - یزد</v>
      </c>
      <c r="I5" s="209"/>
      <c r="J5" s="209"/>
      <c r="K5" s="209"/>
      <c r="L5" s="209"/>
      <c r="M5" s="209"/>
      <c r="N5" s="294" t="s">
        <v>13</v>
      </c>
      <c r="O5" s="295"/>
      <c r="P5" s="295"/>
      <c r="Q5" s="51" t="s">
        <v>14</v>
      </c>
      <c r="R5" s="17" t="str">
        <f>[1]روکش!P4</f>
        <v>P</v>
      </c>
      <c r="S5" s="45"/>
      <c r="T5" s="10"/>
      <c r="U5" s="8"/>
    </row>
    <row r="6" spans="3:23" ht="18.75" customHeight="1">
      <c r="C6" s="16"/>
      <c r="D6" s="6"/>
      <c r="E6" s="16"/>
      <c r="F6" s="16"/>
      <c r="H6" s="209" t="s">
        <v>110</v>
      </c>
      <c r="I6" s="209"/>
      <c r="J6" s="209"/>
      <c r="K6" s="209"/>
      <c r="L6" s="209"/>
      <c r="M6" s="209"/>
      <c r="N6" s="294"/>
      <c r="O6" s="295"/>
      <c r="P6" s="295"/>
      <c r="Q6" s="51" t="s">
        <v>15</v>
      </c>
      <c r="R6" s="17" t="str">
        <f>[1]روکش!P5</f>
        <v>O</v>
      </c>
      <c r="S6" s="45"/>
      <c r="T6" s="10"/>
      <c r="U6" s="8"/>
    </row>
    <row r="7" spans="3:23" ht="3.75" customHeight="1">
      <c r="C7" s="16"/>
      <c r="D7" s="6"/>
      <c r="E7" s="16"/>
      <c r="F7" s="16"/>
      <c r="G7" s="16"/>
      <c r="H7" s="16"/>
      <c r="I7" s="16"/>
      <c r="J7" s="16"/>
      <c r="K7" s="16"/>
      <c r="L7" s="77"/>
      <c r="M7" s="77"/>
      <c r="N7" s="77"/>
      <c r="O7" s="23"/>
      <c r="P7" s="23"/>
      <c r="Q7" s="16"/>
      <c r="R7" s="16"/>
      <c r="S7" s="16"/>
      <c r="T7" s="10"/>
      <c r="U7" s="8"/>
    </row>
    <row r="8" spans="3:23" ht="16.5" customHeight="1">
      <c r="C8" s="16"/>
      <c r="D8" s="6"/>
      <c r="E8" s="296" t="s">
        <v>44</v>
      </c>
      <c r="F8" s="298"/>
      <c r="G8" s="305" t="str">
        <f>+روکش!E10</f>
        <v xml:space="preserve">احمد جامی </v>
      </c>
      <c r="H8" s="306"/>
      <c r="I8" s="299" t="s">
        <v>45</v>
      </c>
      <c r="J8" s="299"/>
      <c r="K8" s="54">
        <f>+روکش!H7</f>
        <v>1</v>
      </c>
      <c r="L8" s="232" t="s">
        <v>46</v>
      </c>
      <c r="M8" s="232"/>
      <c r="N8" s="307" t="str">
        <f>+روکش!N8</f>
        <v>1398/04/26</v>
      </c>
      <c r="O8" s="307"/>
      <c r="P8" s="232" t="s">
        <v>47</v>
      </c>
      <c r="Q8" s="232"/>
      <c r="R8" s="232"/>
      <c r="S8" s="232"/>
      <c r="T8" s="10"/>
      <c r="U8" s="8"/>
    </row>
    <row r="9" spans="3:23" ht="3.75" customHeight="1">
      <c r="C9" s="16"/>
      <c r="D9" s="6"/>
      <c r="E9" s="45"/>
      <c r="F9" s="45"/>
      <c r="G9" s="45"/>
      <c r="H9" s="45"/>
      <c r="I9" s="45"/>
      <c r="J9" s="45"/>
      <c r="K9" s="45"/>
      <c r="L9" s="76"/>
      <c r="M9" s="76"/>
      <c r="N9" s="76"/>
      <c r="O9" s="78"/>
      <c r="P9" s="78"/>
      <c r="Q9" s="45"/>
      <c r="R9" s="45"/>
      <c r="S9" s="45"/>
      <c r="T9" s="10"/>
      <c r="U9" s="8"/>
    </row>
    <row r="10" spans="3:23" ht="18.75" customHeight="1">
      <c r="C10" s="16"/>
      <c r="D10" s="6"/>
      <c r="E10" s="52" t="s">
        <v>0</v>
      </c>
      <c r="F10" s="308" t="s">
        <v>111</v>
      </c>
      <c r="G10" s="309"/>
      <c r="H10" s="309"/>
      <c r="I10" s="309"/>
      <c r="J10" s="309"/>
      <c r="K10" s="310"/>
      <c r="L10" s="79" t="s">
        <v>1</v>
      </c>
      <c r="M10" s="80" t="s">
        <v>10</v>
      </c>
      <c r="N10" s="300" t="s">
        <v>112</v>
      </c>
      <c r="O10" s="300"/>
      <c r="P10" s="300"/>
      <c r="Q10" s="300" t="s">
        <v>113</v>
      </c>
      <c r="R10" s="300"/>
      <c r="S10" s="300"/>
      <c r="T10" s="10"/>
      <c r="U10" s="8"/>
    </row>
    <row r="11" spans="3:23" ht="16.5" hidden="1" customHeight="1">
      <c r="C11" s="16"/>
      <c r="D11" s="6"/>
      <c r="E11" s="53">
        <v>1</v>
      </c>
      <c r="F11" s="311" t="s">
        <v>78</v>
      </c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3"/>
      <c r="T11" s="10"/>
      <c r="U11" s="8"/>
    </row>
    <row r="12" spans="3:23" ht="14.25" hidden="1" customHeight="1">
      <c r="C12" s="16"/>
      <c r="D12" s="6"/>
      <c r="E12" s="32"/>
      <c r="F12" s="289" t="s">
        <v>115</v>
      </c>
      <c r="G12" s="290"/>
      <c r="H12" s="290"/>
      <c r="I12" s="290"/>
      <c r="J12" s="290"/>
      <c r="K12" s="291"/>
      <c r="L12" s="31"/>
      <c r="M12" s="31">
        <v>4</v>
      </c>
      <c r="N12" s="283"/>
      <c r="O12" s="283"/>
      <c r="P12" s="283"/>
      <c r="Q12" s="304"/>
      <c r="R12" s="304"/>
      <c r="S12" s="304"/>
      <c r="T12" s="10"/>
      <c r="U12" s="8"/>
    </row>
    <row r="13" spans="3:23" ht="14.25" hidden="1" customHeight="1">
      <c r="C13" s="16"/>
      <c r="D13" s="6"/>
      <c r="E13" s="32" t="s">
        <v>65</v>
      </c>
      <c r="F13" s="289" t="s">
        <v>138</v>
      </c>
      <c r="G13" s="290"/>
      <c r="H13" s="290"/>
      <c r="I13" s="290"/>
      <c r="J13" s="290"/>
      <c r="K13" s="291"/>
      <c r="L13" s="31" t="s">
        <v>114</v>
      </c>
      <c r="M13" s="31">
        <v>4</v>
      </c>
      <c r="N13" s="283"/>
      <c r="O13" s="283"/>
      <c r="P13" s="283"/>
      <c r="Q13" s="304"/>
      <c r="R13" s="304"/>
      <c r="S13" s="304"/>
      <c r="T13" s="10"/>
      <c r="U13" s="8"/>
    </row>
    <row r="14" spans="3:23" ht="14.25" hidden="1" customHeight="1">
      <c r="C14" s="16"/>
      <c r="D14" s="6"/>
      <c r="E14" s="32" t="s">
        <v>66</v>
      </c>
      <c r="F14" s="289" t="s">
        <v>139</v>
      </c>
      <c r="G14" s="290"/>
      <c r="H14" s="290"/>
      <c r="I14" s="290"/>
      <c r="J14" s="290"/>
      <c r="K14" s="291"/>
      <c r="L14" s="31" t="s">
        <v>114</v>
      </c>
      <c r="M14" s="31">
        <v>4</v>
      </c>
      <c r="N14" s="283"/>
      <c r="O14" s="283"/>
      <c r="P14" s="283"/>
      <c r="Q14" s="304"/>
      <c r="R14" s="304"/>
      <c r="S14" s="304"/>
      <c r="T14" s="10"/>
      <c r="U14" s="8"/>
    </row>
    <row r="15" spans="3:23" ht="14.25" hidden="1" customHeight="1">
      <c r="C15" s="16"/>
      <c r="D15" s="6"/>
      <c r="E15" s="32" t="s">
        <v>67</v>
      </c>
      <c r="F15" s="289" t="s">
        <v>140</v>
      </c>
      <c r="G15" s="290"/>
      <c r="H15" s="290"/>
      <c r="I15" s="290"/>
      <c r="J15" s="290"/>
      <c r="K15" s="291"/>
      <c r="L15" s="31" t="s">
        <v>114</v>
      </c>
      <c r="M15" s="31">
        <v>4</v>
      </c>
      <c r="N15" s="283"/>
      <c r="O15" s="283"/>
      <c r="P15" s="283"/>
      <c r="Q15" s="304"/>
      <c r="R15" s="304"/>
      <c r="S15" s="304"/>
      <c r="T15" s="10"/>
      <c r="U15" s="8"/>
    </row>
    <row r="16" spans="3:23" ht="14.25" hidden="1" customHeight="1">
      <c r="C16" s="16"/>
      <c r="D16" s="6"/>
      <c r="E16" s="32" t="s">
        <v>68</v>
      </c>
      <c r="F16" s="289" t="s">
        <v>141</v>
      </c>
      <c r="G16" s="290"/>
      <c r="H16" s="290"/>
      <c r="I16" s="290"/>
      <c r="J16" s="290"/>
      <c r="K16" s="291"/>
      <c r="L16" s="31" t="s">
        <v>114</v>
      </c>
      <c r="M16" s="31">
        <v>3</v>
      </c>
      <c r="N16" s="283"/>
      <c r="O16" s="283"/>
      <c r="P16" s="283"/>
      <c r="Q16" s="304"/>
      <c r="R16" s="304"/>
      <c r="S16" s="304"/>
      <c r="T16" s="10"/>
      <c r="U16" s="8"/>
    </row>
    <row r="17" spans="3:22" ht="14.25" hidden="1" customHeight="1">
      <c r="C17" s="16"/>
      <c r="D17" s="6"/>
      <c r="E17" s="32" t="s">
        <v>81</v>
      </c>
      <c r="F17" s="289" t="s">
        <v>142</v>
      </c>
      <c r="G17" s="290"/>
      <c r="H17" s="290"/>
      <c r="I17" s="290"/>
      <c r="J17" s="290"/>
      <c r="K17" s="291"/>
      <c r="L17" s="31" t="s">
        <v>114</v>
      </c>
      <c r="M17" s="31">
        <v>3</v>
      </c>
      <c r="N17" s="283"/>
      <c r="O17" s="283"/>
      <c r="P17" s="283"/>
      <c r="Q17" s="304"/>
      <c r="R17" s="304"/>
      <c r="S17" s="304"/>
      <c r="T17" s="10"/>
      <c r="U17" s="8"/>
    </row>
    <row r="18" spans="3:22" ht="14.25" hidden="1" customHeight="1">
      <c r="C18" s="16"/>
      <c r="D18" s="6"/>
      <c r="E18" s="32" t="s">
        <v>82</v>
      </c>
      <c r="F18" s="289" t="s">
        <v>143</v>
      </c>
      <c r="G18" s="290"/>
      <c r="H18" s="290"/>
      <c r="I18" s="290"/>
      <c r="J18" s="290"/>
      <c r="K18" s="291"/>
      <c r="L18" s="31" t="s">
        <v>114</v>
      </c>
      <c r="M18" s="31">
        <v>3</v>
      </c>
      <c r="N18" s="283"/>
      <c r="O18" s="283"/>
      <c r="P18" s="283"/>
      <c r="Q18" s="304"/>
      <c r="R18" s="304"/>
      <c r="S18" s="304"/>
      <c r="T18" s="10"/>
      <c r="U18" s="8"/>
    </row>
    <row r="19" spans="3:22" ht="14.25" hidden="1" customHeight="1">
      <c r="C19" s="16"/>
      <c r="D19" s="6"/>
      <c r="E19" s="32" t="s">
        <v>83</v>
      </c>
      <c r="F19" s="289" t="s">
        <v>144</v>
      </c>
      <c r="G19" s="290"/>
      <c r="H19" s="290"/>
      <c r="I19" s="290"/>
      <c r="J19" s="290"/>
      <c r="K19" s="291"/>
      <c r="L19" s="31" t="s">
        <v>114</v>
      </c>
      <c r="M19" s="31">
        <v>4</v>
      </c>
      <c r="N19" s="283"/>
      <c r="O19" s="283"/>
      <c r="P19" s="283"/>
      <c r="Q19" s="304"/>
      <c r="R19" s="304"/>
      <c r="S19" s="304"/>
      <c r="T19" s="10"/>
      <c r="U19" s="8"/>
    </row>
    <row r="20" spans="3:22" ht="14.25" hidden="1" customHeight="1">
      <c r="C20" s="16"/>
      <c r="D20" s="6"/>
      <c r="E20" s="32" t="s">
        <v>84</v>
      </c>
      <c r="F20" s="289" t="s">
        <v>145</v>
      </c>
      <c r="G20" s="290"/>
      <c r="H20" s="290"/>
      <c r="I20" s="290"/>
      <c r="J20" s="290"/>
      <c r="K20" s="291"/>
      <c r="L20" s="31" t="s">
        <v>114</v>
      </c>
      <c r="M20" s="31">
        <v>4</v>
      </c>
      <c r="N20" s="283"/>
      <c r="O20" s="283"/>
      <c r="P20" s="283"/>
      <c r="Q20" s="304"/>
      <c r="R20" s="304"/>
      <c r="S20" s="304"/>
      <c r="T20" s="10"/>
      <c r="U20" s="8"/>
    </row>
    <row r="21" spans="3:22" ht="14.25" hidden="1" customHeight="1">
      <c r="C21" s="16"/>
      <c r="D21" s="6"/>
      <c r="E21" s="32" t="s">
        <v>85</v>
      </c>
      <c r="F21" s="289" t="s">
        <v>146</v>
      </c>
      <c r="G21" s="290"/>
      <c r="H21" s="290"/>
      <c r="I21" s="290"/>
      <c r="J21" s="290"/>
      <c r="K21" s="291"/>
      <c r="L21" s="31" t="s">
        <v>114</v>
      </c>
      <c r="M21" s="31">
        <v>3</v>
      </c>
      <c r="N21" s="283"/>
      <c r="O21" s="283"/>
      <c r="P21" s="283"/>
      <c r="Q21" s="304"/>
      <c r="R21" s="304"/>
      <c r="S21" s="304"/>
      <c r="T21" s="10"/>
      <c r="U21" s="8"/>
    </row>
    <row r="22" spans="3:22" ht="14.25" hidden="1" customHeight="1">
      <c r="C22" s="16"/>
      <c r="D22" s="6"/>
      <c r="E22" s="32" t="s">
        <v>86</v>
      </c>
      <c r="F22" s="289" t="s">
        <v>147</v>
      </c>
      <c r="G22" s="290"/>
      <c r="H22" s="290"/>
      <c r="I22" s="290"/>
      <c r="J22" s="290"/>
      <c r="K22" s="291"/>
      <c r="L22" s="31" t="s">
        <v>114</v>
      </c>
      <c r="M22" s="31">
        <v>2</v>
      </c>
      <c r="N22" s="283"/>
      <c r="O22" s="283"/>
      <c r="P22" s="283"/>
      <c r="Q22" s="304"/>
      <c r="R22" s="304"/>
      <c r="S22" s="304"/>
      <c r="T22" s="10"/>
      <c r="U22" s="8"/>
    </row>
    <row r="23" spans="3:22" ht="14.25" hidden="1" customHeight="1">
      <c r="C23" s="16"/>
      <c r="D23" s="6"/>
      <c r="E23" s="32" t="s">
        <v>87</v>
      </c>
      <c r="F23" s="289" t="s">
        <v>148</v>
      </c>
      <c r="G23" s="290"/>
      <c r="H23" s="290"/>
      <c r="I23" s="290"/>
      <c r="J23" s="290"/>
      <c r="K23" s="291"/>
      <c r="L23" s="31" t="s">
        <v>114</v>
      </c>
      <c r="M23" s="31">
        <v>2</v>
      </c>
      <c r="N23" s="283"/>
      <c r="O23" s="283"/>
      <c r="P23" s="283"/>
      <c r="Q23" s="304"/>
      <c r="R23" s="304"/>
      <c r="S23" s="304"/>
      <c r="T23" s="10"/>
      <c r="U23" s="8"/>
    </row>
    <row r="24" spans="3:22" ht="14.25" hidden="1" customHeight="1">
      <c r="C24" s="16"/>
      <c r="D24" s="6"/>
      <c r="E24" s="32" t="s">
        <v>88</v>
      </c>
      <c r="F24" s="289" t="s">
        <v>149</v>
      </c>
      <c r="G24" s="290"/>
      <c r="H24" s="290"/>
      <c r="I24" s="290"/>
      <c r="J24" s="290"/>
      <c r="K24" s="291"/>
      <c r="L24" s="31" t="s">
        <v>114</v>
      </c>
      <c r="M24" s="31">
        <v>2</v>
      </c>
      <c r="N24" s="283"/>
      <c r="O24" s="283"/>
      <c r="P24" s="283"/>
      <c r="Q24" s="304"/>
      <c r="R24" s="304"/>
      <c r="S24" s="304"/>
      <c r="T24" s="10"/>
      <c r="U24" s="8"/>
    </row>
    <row r="25" spans="3:22" ht="14.25" hidden="1" customHeight="1">
      <c r="C25" s="16"/>
      <c r="D25" s="6"/>
      <c r="E25" s="32" t="s">
        <v>89</v>
      </c>
      <c r="F25" s="289" t="s">
        <v>150</v>
      </c>
      <c r="G25" s="290"/>
      <c r="H25" s="290"/>
      <c r="I25" s="290"/>
      <c r="J25" s="290"/>
      <c r="K25" s="291"/>
      <c r="L25" s="31" t="s">
        <v>114</v>
      </c>
      <c r="M25" s="31">
        <v>3</v>
      </c>
      <c r="N25" s="283"/>
      <c r="O25" s="283"/>
      <c r="P25" s="283"/>
      <c r="Q25" s="304"/>
      <c r="R25" s="304"/>
      <c r="S25" s="304"/>
      <c r="T25" s="10"/>
      <c r="U25" s="8"/>
      <c r="V25" s="24">
        <f>+O25-U25</f>
        <v>0</v>
      </c>
    </row>
    <row r="26" spans="3:22" ht="14.25" hidden="1" customHeight="1">
      <c r="C26" s="16"/>
      <c r="D26" s="6"/>
      <c r="E26" s="32" t="s">
        <v>90</v>
      </c>
      <c r="F26" s="289" t="s">
        <v>151</v>
      </c>
      <c r="G26" s="290"/>
      <c r="H26" s="290"/>
      <c r="I26" s="290"/>
      <c r="J26" s="290"/>
      <c r="K26" s="291"/>
      <c r="L26" s="31" t="s">
        <v>114</v>
      </c>
      <c r="M26" s="31">
        <v>0</v>
      </c>
      <c r="N26" s="283"/>
      <c r="O26" s="283"/>
      <c r="P26" s="283"/>
      <c r="Q26" s="304"/>
      <c r="R26" s="304"/>
      <c r="S26" s="304"/>
      <c r="T26" s="10"/>
      <c r="U26" s="8"/>
    </row>
    <row r="27" spans="3:22" ht="14.25" hidden="1" customHeight="1">
      <c r="C27" s="16"/>
      <c r="D27" s="6"/>
      <c r="E27" s="32" t="s">
        <v>91</v>
      </c>
      <c r="F27" s="289" t="s">
        <v>152</v>
      </c>
      <c r="G27" s="290"/>
      <c r="H27" s="290"/>
      <c r="I27" s="290"/>
      <c r="J27" s="290"/>
      <c r="K27" s="291"/>
      <c r="L27" s="31" t="s">
        <v>114</v>
      </c>
      <c r="M27" s="31">
        <v>3</v>
      </c>
      <c r="N27" s="283"/>
      <c r="O27" s="283"/>
      <c r="P27" s="283"/>
      <c r="Q27" s="304"/>
      <c r="R27" s="304"/>
      <c r="S27" s="304"/>
      <c r="T27" s="10"/>
      <c r="U27" s="8"/>
    </row>
    <row r="28" spans="3:22" ht="14.25" hidden="1" customHeight="1">
      <c r="C28" s="16"/>
      <c r="D28" s="6"/>
      <c r="E28" s="32" t="s">
        <v>92</v>
      </c>
      <c r="F28" s="289" t="s">
        <v>153</v>
      </c>
      <c r="G28" s="290"/>
      <c r="H28" s="290"/>
      <c r="I28" s="290"/>
      <c r="J28" s="290"/>
      <c r="K28" s="291"/>
      <c r="L28" s="31" t="s">
        <v>114</v>
      </c>
      <c r="M28" s="31">
        <v>3</v>
      </c>
      <c r="N28" s="283"/>
      <c r="O28" s="283"/>
      <c r="P28" s="283"/>
      <c r="Q28" s="304"/>
      <c r="R28" s="304"/>
      <c r="S28" s="304"/>
      <c r="T28" s="10"/>
      <c r="U28" s="8"/>
    </row>
    <row r="29" spans="3:22" ht="14.25" hidden="1" customHeight="1">
      <c r="C29" s="16"/>
      <c r="D29" s="6"/>
      <c r="E29" s="32" t="s">
        <v>93</v>
      </c>
      <c r="F29" s="289" t="s">
        <v>154</v>
      </c>
      <c r="G29" s="290"/>
      <c r="H29" s="290"/>
      <c r="I29" s="290"/>
      <c r="J29" s="290"/>
      <c r="K29" s="291"/>
      <c r="L29" s="31" t="s">
        <v>114</v>
      </c>
      <c r="M29" s="31">
        <v>3</v>
      </c>
      <c r="N29" s="283"/>
      <c r="O29" s="283"/>
      <c r="P29" s="283"/>
      <c r="Q29" s="304"/>
      <c r="R29" s="304"/>
      <c r="S29" s="304"/>
      <c r="T29" s="10"/>
      <c r="U29" s="8"/>
    </row>
    <row r="30" spans="3:22" ht="14.25" hidden="1" customHeight="1">
      <c r="C30" s="16"/>
      <c r="D30" s="6"/>
      <c r="E30" s="32" t="s">
        <v>94</v>
      </c>
      <c r="F30" s="289" t="s">
        <v>155</v>
      </c>
      <c r="G30" s="290"/>
      <c r="H30" s="290"/>
      <c r="I30" s="290"/>
      <c r="J30" s="290"/>
      <c r="K30" s="291"/>
      <c r="L30" s="31" t="s">
        <v>114</v>
      </c>
      <c r="M30" s="31">
        <v>3</v>
      </c>
      <c r="N30" s="283"/>
      <c r="O30" s="283"/>
      <c r="P30" s="283"/>
      <c r="Q30" s="304"/>
      <c r="R30" s="304"/>
      <c r="S30" s="304"/>
      <c r="T30" s="10"/>
      <c r="U30" s="8"/>
    </row>
    <row r="31" spans="3:22" ht="14.25" hidden="1" customHeight="1">
      <c r="C31" s="16"/>
      <c r="D31" s="6"/>
      <c r="E31" s="32" t="s">
        <v>95</v>
      </c>
      <c r="F31" s="289" t="s">
        <v>156</v>
      </c>
      <c r="G31" s="290"/>
      <c r="H31" s="290"/>
      <c r="I31" s="290"/>
      <c r="J31" s="290"/>
      <c r="K31" s="291"/>
      <c r="L31" s="31" t="s">
        <v>114</v>
      </c>
      <c r="M31" s="31">
        <v>0</v>
      </c>
      <c r="N31" s="283"/>
      <c r="O31" s="283"/>
      <c r="P31" s="283"/>
      <c r="Q31" s="304"/>
      <c r="R31" s="304"/>
      <c r="S31" s="304"/>
      <c r="T31" s="10"/>
      <c r="U31" s="8"/>
    </row>
    <row r="32" spans="3:22" ht="14.25" hidden="1" customHeight="1">
      <c r="C32" s="16"/>
      <c r="D32" s="6"/>
      <c r="E32" s="32" t="s">
        <v>96</v>
      </c>
      <c r="F32" s="289" t="s">
        <v>157</v>
      </c>
      <c r="G32" s="290"/>
      <c r="H32" s="290"/>
      <c r="I32" s="290"/>
      <c r="J32" s="290"/>
      <c r="K32" s="291"/>
      <c r="L32" s="31" t="s">
        <v>114</v>
      </c>
      <c r="M32" s="31">
        <v>2</v>
      </c>
      <c r="N32" s="283"/>
      <c r="O32" s="283"/>
      <c r="P32" s="283"/>
      <c r="Q32" s="304"/>
      <c r="R32" s="304"/>
      <c r="S32" s="304"/>
      <c r="T32" s="10"/>
      <c r="U32" s="8"/>
    </row>
    <row r="33" spans="3:21" ht="14.25" hidden="1" customHeight="1">
      <c r="C33" s="16"/>
      <c r="D33" s="6"/>
      <c r="E33" s="32" t="s">
        <v>97</v>
      </c>
      <c r="F33" s="289" t="s">
        <v>158</v>
      </c>
      <c r="G33" s="290"/>
      <c r="H33" s="290"/>
      <c r="I33" s="290"/>
      <c r="J33" s="290"/>
      <c r="K33" s="291"/>
      <c r="L33" s="31" t="s">
        <v>114</v>
      </c>
      <c r="M33" s="31">
        <v>2</v>
      </c>
      <c r="N33" s="283"/>
      <c r="O33" s="283"/>
      <c r="P33" s="283"/>
      <c r="Q33" s="304"/>
      <c r="R33" s="304"/>
      <c r="S33" s="304"/>
      <c r="T33" s="10"/>
      <c r="U33" s="8"/>
    </row>
    <row r="34" spans="3:21" ht="14.25" hidden="1" customHeight="1">
      <c r="C34" s="16"/>
      <c r="D34" s="6"/>
      <c r="E34" s="32" t="s">
        <v>98</v>
      </c>
      <c r="F34" s="289" t="s">
        <v>159</v>
      </c>
      <c r="G34" s="290"/>
      <c r="H34" s="290"/>
      <c r="I34" s="290"/>
      <c r="J34" s="290"/>
      <c r="K34" s="291"/>
      <c r="L34" s="31" t="s">
        <v>114</v>
      </c>
      <c r="M34" s="31">
        <v>2</v>
      </c>
      <c r="N34" s="283"/>
      <c r="O34" s="283"/>
      <c r="P34" s="283"/>
      <c r="Q34" s="304"/>
      <c r="R34" s="304"/>
      <c r="S34" s="304"/>
      <c r="T34" s="10"/>
      <c r="U34" s="8"/>
    </row>
    <row r="35" spans="3:21" ht="14.25" hidden="1" customHeight="1">
      <c r="C35" s="16"/>
      <c r="D35" s="6"/>
      <c r="E35" s="32" t="s">
        <v>99</v>
      </c>
      <c r="F35" s="289" t="s">
        <v>160</v>
      </c>
      <c r="G35" s="290"/>
      <c r="H35" s="290"/>
      <c r="I35" s="290"/>
      <c r="J35" s="290"/>
      <c r="K35" s="291"/>
      <c r="L35" s="31" t="s">
        <v>114</v>
      </c>
      <c r="M35" s="31">
        <v>2</v>
      </c>
      <c r="N35" s="283"/>
      <c r="O35" s="283"/>
      <c r="P35" s="283"/>
      <c r="Q35" s="304"/>
      <c r="R35" s="304"/>
      <c r="S35" s="304"/>
      <c r="T35" s="10"/>
      <c r="U35" s="8"/>
    </row>
    <row r="36" spans="3:21" ht="14.25" hidden="1" customHeight="1">
      <c r="C36" s="16"/>
      <c r="D36" s="6"/>
      <c r="E36" s="32" t="s">
        <v>100</v>
      </c>
      <c r="F36" s="289" t="s">
        <v>161</v>
      </c>
      <c r="G36" s="290"/>
      <c r="H36" s="290"/>
      <c r="I36" s="290"/>
      <c r="J36" s="290"/>
      <c r="K36" s="291"/>
      <c r="L36" s="31" t="s">
        <v>114</v>
      </c>
      <c r="M36" s="31">
        <v>2</v>
      </c>
      <c r="N36" s="283"/>
      <c r="O36" s="283"/>
      <c r="P36" s="283"/>
      <c r="Q36" s="304"/>
      <c r="R36" s="304"/>
      <c r="S36" s="304"/>
      <c r="T36" s="10"/>
      <c r="U36" s="8"/>
    </row>
    <row r="37" spans="3:21" ht="14.25" hidden="1" customHeight="1">
      <c r="C37" s="16"/>
      <c r="D37" s="6"/>
      <c r="E37" s="32" t="s">
        <v>101</v>
      </c>
      <c r="F37" s="289" t="s">
        <v>162</v>
      </c>
      <c r="G37" s="290"/>
      <c r="H37" s="290"/>
      <c r="I37" s="290"/>
      <c r="J37" s="290"/>
      <c r="K37" s="291"/>
      <c r="L37" s="31" t="s">
        <v>114</v>
      </c>
      <c r="M37" s="31">
        <v>0</v>
      </c>
      <c r="N37" s="283"/>
      <c r="O37" s="283"/>
      <c r="P37" s="283"/>
      <c r="Q37" s="304"/>
      <c r="R37" s="304"/>
      <c r="S37" s="304"/>
      <c r="T37" s="10"/>
      <c r="U37" s="8"/>
    </row>
    <row r="38" spans="3:21" ht="14.25" hidden="1" customHeight="1">
      <c r="C38" s="16"/>
      <c r="D38" s="6"/>
      <c r="E38" s="32"/>
      <c r="F38" s="289" t="s">
        <v>163</v>
      </c>
      <c r="G38" s="290"/>
      <c r="H38" s="290"/>
      <c r="I38" s="290"/>
      <c r="J38" s="290"/>
      <c r="K38" s="291"/>
      <c r="L38" s="31" t="s">
        <v>114</v>
      </c>
      <c r="M38" s="31">
        <v>2</v>
      </c>
      <c r="N38" s="283"/>
      <c r="O38" s="283"/>
      <c r="P38" s="283"/>
      <c r="Q38" s="304"/>
      <c r="R38" s="304"/>
      <c r="S38" s="304"/>
      <c r="T38" s="10"/>
      <c r="U38" s="8"/>
    </row>
    <row r="39" spans="3:21" ht="14.25" hidden="1" customHeight="1">
      <c r="C39" s="16"/>
      <c r="D39" s="6"/>
      <c r="E39" s="32"/>
      <c r="F39" s="289" t="s">
        <v>164</v>
      </c>
      <c r="G39" s="290"/>
      <c r="H39" s="290"/>
      <c r="I39" s="290"/>
      <c r="J39" s="290"/>
      <c r="K39" s="291"/>
      <c r="L39" s="31" t="s">
        <v>114</v>
      </c>
      <c r="M39" s="31">
        <v>2</v>
      </c>
      <c r="N39" s="283"/>
      <c r="O39" s="283"/>
      <c r="P39" s="283"/>
      <c r="Q39" s="304"/>
      <c r="R39" s="304"/>
      <c r="S39" s="304"/>
      <c r="T39" s="10"/>
      <c r="U39" s="8"/>
    </row>
    <row r="40" spans="3:21" ht="14.25" hidden="1" customHeight="1">
      <c r="C40" s="16"/>
      <c r="D40" s="6"/>
      <c r="E40" s="32"/>
      <c r="F40" s="289" t="s">
        <v>165</v>
      </c>
      <c r="G40" s="290"/>
      <c r="H40" s="290"/>
      <c r="I40" s="290"/>
      <c r="J40" s="290"/>
      <c r="K40" s="291"/>
      <c r="L40" s="31" t="s">
        <v>114</v>
      </c>
      <c r="M40" s="31">
        <v>2</v>
      </c>
      <c r="N40" s="283"/>
      <c r="O40" s="283"/>
      <c r="P40" s="283"/>
      <c r="Q40" s="304"/>
      <c r="R40" s="304"/>
      <c r="S40" s="304"/>
      <c r="T40" s="10"/>
      <c r="U40" s="8"/>
    </row>
    <row r="41" spans="3:21" ht="14.25" hidden="1" customHeight="1">
      <c r="C41" s="16"/>
      <c r="D41" s="6"/>
      <c r="E41" s="32"/>
      <c r="F41" s="289" t="s">
        <v>166</v>
      </c>
      <c r="G41" s="290"/>
      <c r="H41" s="290"/>
      <c r="I41" s="290"/>
      <c r="J41" s="290"/>
      <c r="K41" s="291"/>
      <c r="L41" s="31" t="s">
        <v>114</v>
      </c>
      <c r="M41" s="31">
        <v>2</v>
      </c>
      <c r="N41" s="283"/>
      <c r="O41" s="283"/>
      <c r="P41" s="283"/>
      <c r="Q41" s="304"/>
      <c r="R41" s="304"/>
      <c r="S41" s="304"/>
      <c r="T41" s="10"/>
      <c r="U41" s="8"/>
    </row>
    <row r="42" spans="3:21" ht="14.25" hidden="1" customHeight="1">
      <c r="C42" s="16"/>
      <c r="D42" s="6"/>
      <c r="E42" s="32"/>
      <c r="F42" s="289" t="s">
        <v>167</v>
      </c>
      <c r="G42" s="290"/>
      <c r="H42" s="290"/>
      <c r="I42" s="290"/>
      <c r="J42" s="290"/>
      <c r="K42" s="291"/>
      <c r="L42" s="31" t="s">
        <v>114</v>
      </c>
      <c r="M42" s="31">
        <v>2</v>
      </c>
      <c r="N42" s="283"/>
      <c r="O42" s="283"/>
      <c r="P42" s="283"/>
      <c r="Q42" s="304"/>
      <c r="R42" s="304"/>
      <c r="S42" s="304"/>
      <c r="T42" s="10"/>
      <c r="U42" s="8"/>
    </row>
    <row r="43" spans="3:21" ht="14.25" hidden="1" customHeight="1">
      <c r="C43" s="16"/>
      <c r="D43" s="6"/>
      <c r="E43" s="32"/>
      <c r="F43" s="289" t="s">
        <v>168</v>
      </c>
      <c r="G43" s="290"/>
      <c r="H43" s="290"/>
      <c r="I43" s="290"/>
      <c r="J43" s="290"/>
      <c r="K43" s="291"/>
      <c r="L43" s="31" t="s">
        <v>114</v>
      </c>
      <c r="M43" s="31">
        <v>2</v>
      </c>
      <c r="N43" s="283"/>
      <c r="O43" s="283"/>
      <c r="P43" s="283"/>
      <c r="Q43" s="304"/>
      <c r="R43" s="304"/>
      <c r="S43" s="304"/>
      <c r="T43" s="10"/>
      <c r="U43" s="8"/>
    </row>
    <row r="44" spans="3:21" ht="14.25" hidden="1" customHeight="1">
      <c r="C44" s="16"/>
      <c r="D44" s="6"/>
      <c r="E44" s="32"/>
      <c r="F44" s="289" t="s">
        <v>169</v>
      </c>
      <c r="G44" s="290"/>
      <c r="H44" s="290"/>
      <c r="I44" s="290"/>
      <c r="J44" s="290"/>
      <c r="K44" s="291"/>
      <c r="L44" s="31" t="s">
        <v>114</v>
      </c>
      <c r="M44" s="31">
        <v>0</v>
      </c>
      <c r="N44" s="283"/>
      <c r="O44" s="283"/>
      <c r="P44" s="283"/>
      <c r="Q44" s="304"/>
      <c r="R44" s="304"/>
      <c r="S44" s="304"/>
      <c r="T44" s="10"/>
      <c r="U44" s="8"/>
    </row>
    <row r="45" spans="3:21" ht="14.25" hidden="1" customHeight="1">
      <c r="C45" s="16"/>
      <c r="D45" s="6"/>
      <c r="E45" s="32"/>
      <c r="F45" s="289" t="s">
        <v>170</v>
      </c>
      <c r="G45" s="290"/>
      <c r="H45" s="290"/>
      <c r="I45" s="290"/>
      <c r="J45" s="290"/>
      <c r="K45" s="291"/>
      <c r="L45" s="31" t="s">
        <v>114</v>
      </c>
      <c r="M45" s="31">
        <v>2</v>
      </c>
      <c r="N45" s="283"/>
      <c r="O45" s="283"/>
      <c r="P45" s="283"/>
      <c r="Q45" s="304"/>
      <c r="R45" s="304"/>
      <c r="S45" s="304"/>
      <c r="T45" s="10"/>
      <c r="U45" s="8"/>
    </row>
    <row r="46" spans="3:21" ht="14.25" hidden="1" customHeight="1">
      <c r="C46" s="16"/>
      <c r="D46" s="6"/>
      <c r="E46" s="32"/>
      <c r="F46" s="289" t="s">
        <v>171</v>
      </c>
      <c r="G46" s="290"/>
      <c r="H46" s="290"/>
      <c r="I46" s="290"/>
      <c r="J46" s="290"/>
      <c r="K46" s="291"/>
      <c r="L46" s="31" t="s">
        <v>114</v>
      </c>
      <c r="M46" s="31">
        <v>2</v>
      </c>
      <c r="N46" s="283"/>
      <c r="O46" s="283"/>
      <c r="P46" s="283"/>
      <c r="Q46" s="304"/>
      <c r="R46" s="304"/>
      <c r="S46" s="304"/>
      <c r="T46" s="10"/>
      <c r="U46" s="8"/>
    </row>
    <row r="47" spans="3:21" ht="14.25" hidden="1" customHeight="1">
      <c r="C47" s="16"/>
      <c r="D47" s="6"/>
      <c r="E47" s="32"/>
      <c r="F47" s="289" t="s">
        <v>172</v>
      </c>
      <c r="G47" s="290"/>
      <c r="H47" s="290"/>
      <c r="I47" s="290"/>
      <c r="J47" s="290"/>
      <c r="K47" s="291"/>
      <c r="L47" s="31" t="s">
        <v>114</v>
      </c>
      <c r="M47" s="31">
        <v>2</v>
      </c>
      <c r="N47" s="283"/>
      <c r="O47" s="283"/>
      <c r="P47" s="283"/>
      <c r="Q47" s="304"/>
      <c r="R47" s="304"/>
      <c r="S47" s="304"/>
      <c r="T47" s="10"/>
      <c r="U47" s="8"/>
    </row>
    <row r="48" spans="3:21" ht="14.25" hidden="1" customHeight="1">
      <c r="C48" s="16"/>
      <c r="D48" s="6"/>
      <c r="E48" s="32"/>
      <c r="F48" s="289" t="s">
        <v>173</v>
      </c>
      <c r="G48" s="290"/>
      <c r="H48" s="290"/>
      <c r="I48" s="290"/>
      <c r="J48" s="290"/>
      <c r="K48" s="291"/>
      <c r="L48" s="31" t="s">
        <v>114</v>
      </c>
      <c r="M48" s="31">
        <v>1</v>
      </c>
      <c r="N48" s="283"/>
      <c r="O48" s="283"/>
      <c r="P48" s="283"/>
      <c r="Q48" s="304"/>
      <c r="R48" s="304"/>
      <c r="S48" s="304"/>
      <c r="T48" s="10"/>
      <c r="U48" s="8"/>
    </row>
    <row r="49" spans="3:21" ht="17.25" hidden="1" customHeight="1">
      <c r="C49" s="45"/>
      <c r="D49" s="67"/>
      <c r="E49" s="32" t="s">
        <v>116</v>
      </c>
      <c r="F49" s="303" t="str">
        <f>+"جمع کل"&amp;" "&amp;F11</f>
        <v>جمع کل بیمه مسئولیت مدنی</v>
      </c>
      <c r="G49" s="303"/>
      <c r="H49" s="303"/>
      <c r="I49" s="303"/>
      <c r="J49" s="303"/>
      <c r="K49" s="303"/>
      <c r="L49" s="303"/>
      <c r="M49" s="54">
        <f>SUM(M11:M48)</f>
        <v>86</v>
      </c>
      <c r="N49" s="248">
        <v>19200</v>
      </c>
      <c r="O49" s="248"/>
      <c r="P49" s="248"/>
      <c r="Q49" s="279">
        <f>+N49*M49</f>
        <v>1651200</v>
      </c>
      <c r="R49" s="279"/>
      <c r="S49" s="279"/>
      <c r="T49" s="81"/>
    </row>
    <row r="50" spans="3:21" ht="17.25" hidden="1" customHeight="1">
      <c r="C50" s="45"/>
      <c r="D50" s="67"/>
      <c r="E50" s="32" t="s">
        <v>116</v>
      </c>
      <c r="F50" s="303"/>
      <c r="G50" s="303"/>
      <c r="H50" s="303"/>
      <c r="I50" s="303"/>
      <c r="J50" s="303"/>
      <c r="K50" s="303"/>
      <c r="L50" s="303"/>
      <c r="M50" s="118"/>
      <c r="N50" s="248">
        <v>19200</v>
      </c>
      <c r="O50" s="248"/>
      <c r="P50" s="248"/>
      <c r="Q50" s="279">
        <f>+N50*M50</f>
        <v>0</v>
      </c>
      <c r="R50" s="279"/>
      <c r="S50" s="279"/>
      <c r="T50" s="81"/>
    </row>
    <row r="51" spans="3:21" ht="3.75" customHeight="1">
      <c r="C51" s="45"/>
      <c r="D51" s="67"/>
      <c r="L51"/>
      <c r="M51"/>
      <c r="N51"/>
      <c r="O51"/>
      <c r="P51"/>
      <c r="T51" s="81"/>
    </row>
    <row r="52" spans="3:21" ht="18" customHeight="1">
      <c r="C52" s="16"/>
      <c r="D52" s="6"/>
      <c r="E52" s="53">
        <v>1</v>
      </c>
      <c r="F52" s="311" t="s">
        <v>117</v>
      </c>
      <c r="G52" s="312"/>
      <c r="H52" s="312"/>
      <c r="I52" s="312"/>
      <c r="J52" s="312"/>
      <c r="K52" s="312"/>
      <c r="L52" s="312"/>
      <c r="M52" s="312"/>
      <c r="N52" s="312"/>
      <c r="O52" s="312"/>
      <c r="P52" s="312"/>
      <c r="Q52" s="312" t="s">
        <v>118</v>
      </c>
      <c r="R52" s="312"/>
      <c r="S52" s="313"/>
      <c r="T52" s="10"/>
      <c r="U52" s="8"/>
    </row>
    <row r="53" spans="3:21" ht="21">
      <c r="C53" s="16"/>
      <c r="D53" s="6"/>
      <c r="E53" s="32" t="s">
        <v>65</v>
      </c>
      <c r="F53" s="289" t="s">
        <v>119</v>
      </c>
      <c r="G53" s="290" t="s">
        <v>120</v>
      </c>
      <c r="H53" s="290"/>
      <c r="I53" s="290"/>
      <c r="J53" s="290"/>
      <c r="K53" s="291">
        <v>7</v>
      </c>
      <c r="L53" s="31" t="s">
        <v>121</v>
      </c>
      <c r="M53" s="31">
        <f>11*4</f>
        <v>44</v>
      </c>
      <c r="N53" s="212">
        <v>10000</v>
      </c>
      <c r="O53" s="212"/>
      <c r="P53" s="212"/>
      <c r="Q53" s="304">
        <f>+N53*M53</f>
        <v>440000</v>
      </c>
      <c r="R53" s="304"/>
      <c r="S53" s="304"/>
      <c r="T53" s="10"/>
      <c r="U53" s="8"/>
    </row>
    <row r="54" spans="3:21" ht="21">
      <c r="C54" s="16"/>
      <c r="D54" s="6"/>
      <c r="E54" s="32" t="s">
        <v>66</v>
      </c>
      <c r="F54" s="289" t="s">
        <v>174</v>
      </c>
      <c r="G54" s="290" t="s">
        <v>120</v>
      </c>
      <c r="H54" s="290"/>
      <c r="I54" s="290"/>
      <c r="J54" s="290"/>
      <c r="K54" s="291">
        <v>7</v>
      </c>
      <c r="L54" s="31" t="s">
        <v>102</v>
      </c>
      <c r="M54" s="31">
        <v>3</v>
      </c>
      <c r="N54" s="212">
        <v>190000</v>
      </c>
      <c r="O54" s="212"/>
      <c r="P54" s="212"/>
      <c r="Q54" s="304">
        <f t="shared" ref="Q54:Q57" si="1">+N54*M54</f>
        <v>570000</v>
      </c>
      <c r="R54" s="304"/>
      <c r="S54" s="304"/>
      <c r="T54" s="10"/>
      <c r="U54" s="8"/>
    </row>
    <row r="55" spans="3:21" ht="21">
      <c r="C55" s="16"/>
      <c r="D55" s="6"/>
      <c r="E55" s="32" t="s">
        <v>67</v>
      </c>
      <c r="F55" s="289" t="s">
        <v>339</v>
      </c>
      <c r="G55" s="290"/>
      <c r="H55" s="290"/>
      <c r="I55" s="290"/>
      <c r="J55" s="290"/>
      <c r="K55" s="291"/>
      <c r="L55" s="31" t="s">
        <v>342</v>
      </c>
      <c r="M55" s="31">
        <v>1</v>
      </c>
      <c r="N55" s="212">
        <v>860000</v>
      </c>
      <c r="O55" s="212"/>
      <c r="P55" s="212"/>
      <c r="Q55" s="304">
        <f t="shared" si="1"/>
        <v>860000</v>
      </c>
      <c r="R55" s="304"/>
      <c r="S55" s="304"/>
      <c r="T55" s="10"/>
      <c r="U55" s="8"/>
    </row>
    <row r="56" spans="3:21" ht="21">
      <c r="C56" s="16"/>
      <c r="D56" s="6"/>
      <c r="E56" s="32" t="s">
        <v>68</v>
      </c>
      <c r="F56" s="289" t="s">
        <v>340</v>
      </c>
      <c r="G56" s="290"/>
      <c r="H56" s="290"/>
      <c r="I56" s="290"/>
      <c r="J56" s="290"/>
      <c r="K56" s="291"/>
      <c r="L56" s="31" t="s">
        <v>342</v>
      </c>
      <c r="M56" s="31">
        <v>2</v>
      </c>
      <c r="N56" s="212">
        <v>180000</v>
      </c>
      <c r="O56" s="212"/>
      <c r="P56" s="212"/>
      <c r="Q56" s="304">
        <f t="shared" si="1"/>
        <v>360000</v>
      </c>
      <c r="R56" s="304"/>
      <c r="S56" s="304"/>
      <c r="T56" s="10"/>
      <c r="U56" s="8"/>
    </row>
    <row r="57" spans="3:21" ht="21">
      <c r="C57" s="16"/>
      <c r="D57" s="6"/>
      <c r="E57" s="32" t="s">
        <v>81</v>
      </c>
      <c r="F57" s="289" t="s">
        <v>341</v>
      </c>
      <c r="G57" s="290"/>
      <c r="H57" s="290"/>
      <c r="I57" s="290"/>
      <c r="J57" s="290"/>
      <c r="K57" s="291"/>
      <c r="L57" s="31" t="s">
        <v>342</v>
      </c>
      <c r="M57" s="31">
        <v>2</v>
      </c>
      <c r="N57" s="212">
        <v>85000</v>
      </c>
      <c r="O57" s="212"/>
      <c r="P57" s="212"/>
      <c r="Q57" s="304">
        <f t="shared" si="1"/>
        <v>170000</v>
      </c>
      <c r="R57" s="304"/>
      <c r="S57" s="304"/>
      <c r="T57" s="10"/>
      <c r="U57" s="8"/>
    </row>
    <row r="58" spans="3:21" ht="40.5" customHeight="1">
      <c r="C58" s="45"/>
      <c r="D58" s="67"/>
      <c r="E58" s="32" t="s">
        <v>82</v>
      </c>
      <c r="F58" s="316" t="str">
        <f>+"جمع کل"&amp;" "&amp;F52</f>
        <v>جمع کل هزینه لوازم دریافتی (کفش ایمنی، لباس کار، دستکش و تایپ و تکثیر صورت وضعیت و..)</v>
      </c>
      <c r="G58" s="317"/>
      <c r="H58" s="317"/>
      <c r="I58" s="317"/>
      <c r="J58" s="317"/>
      <c r="K58" s="317"/>
      <c r="L58" s="317"/>
      <c r="M58" s="317"/>
      <c r="N58" s="317"/>
      <c r="O58" s="317"/>
      <c r="P58" s="318"/>
      <c r="Q58" s="279">
        <f>SUM(Q53:S57)</f>
        <v>2400000</v>
      </c>
      <c r="R58" s="279"/>
      <c r="S58" s="279"/>
      <c r="T58" s="81"/>
    </row>
    <row r="59" spans="3:21" ht="3.75" customHeight="1">
      <c r="C59" s="45"/>
      <c r="D59" s="67"/>
      <c r="L59"/>
      <c r="M59"/>
      <c r="N59"/>
      <c r="O59"/>
      <c r="P59"/>
      <c r="T59" s="81"/>
    </row>
    <row r="60" spans="3:21" ht="6" customHeight="1" thickBot="1">
      <c r="C60" s="45"/>
      <c r="D60" s="82"/>
      <c r="E60" s="83"/>
      <c r="F60" s="83"/>
      <c r="G60" s="319"/>
      <c r="H60" s="319"/>
      <c r="I60" s="319"/>
      <c r="J60" s="83"/>
      <c r="K60" s="83"/>
      <c r="L60" s="84"/>
      <c r="M60" s="84"/>
      <c r="N60" s="84"/>
      <c r="O60" s="320"/>
      <c r="P60" s="320"/>
      <c r="Q60" s="320"/>
      <c r="R60" s="320"/>
      <c r="S60" s="320"/>
      <c r="T60" s="85"/>
    </row>
    <row r="61" spans="3:21" ht="5.25" customHeight="1">
      <c r="C61" s="45"/>
      <c r="G61" s="314"/>
      <c r="H61" s="314"/>
      <c r="I61" s="314"/>
      <c r="O61" s="315"/>
      <c r="P61" s="315"/>
      <c r="Q61" s="315"/>
      <c r="R61" s="315"/>
      <c r="S61" s="315"/>
    </row>
    <row r="62" spans="3:21" ht="18" customHeight="1"/>
    <row r="63" spans="3:21" ht="18" customHeight="1"/>
    <row r="64" spans="3:21" ht="18" customHeight="1"/>
  </sheetData>
  <autoFilter ref="E10:S53">
    <filterColumn colId="2" showButton="0"/>
    <filterColumn colId="3" showButton="0"/>
    <filterColumn colId="10" showButton="0"/>
    <filterColumn colId="12" showButton="0"/>
    <filterColumn colId="13" showButton="0"/>
  </autoFilter>
  <mergeCells count="157">
    <mergeCell ref="F41:K41"/>
    <mergeCell ref="N41:P41"/>
    <mergeCell ref="Q41:S41"/>
    <mergeCell ref="F44:K44"/>
    <mergeCell ref="N44:P44"/>
    <mergeCell ref="Q44:S44"/>
    <mergeCell ref="F46:K46"/>
    <mergeCell ref="N46:P46"/>
    <mergeCell ref="Q46:S46"/>
    <mergeCell ref="F47:K47"/>
    <mergeCell ref="N47:P47"/>
    <mergeCell ref="Q47:S47"/>
    <mergeCell ref="F42:K42"/>
    <mergeCell ref="N42:P42"/>
    <mergeCell ref="Q42:S42"/>
    <mergeCell ref="F43:K43"/>
    <mergeCell ref="N43:P43"/>
    <mergeCell ref="Q43:S43"/>
    <mergeCell ref="F45:K45"/>
    <mergeCell ref="N45:P45"/>
    <mergeCell ref="Q45:S45"/>
    <mergeCell ref="F48:K48"/>
    <mergeCell ref="N48:P48"/>
    <mergeCell ref="Q48:S48"/>
    <mergeCell ref="G61:I61"/>
    <mergeCell ref="O61:P61"/>
    <mergeCell ref="Q61:S61"/>
    <mergeCell ref="F52:S52"/>
    <mergeCell ref="F53:K53"/>
    <mergeCell ref="N53:P53"/>
    <mergeCell ref="Q53:S53"/>
    <mergeCell ref="F58:P58"/>
    <mergeCell ref="Q58:S58"/>
    <mergeCell ref="G60:I60"/>
    <mergeCell ref="O60:P60"/>
    <mergeCell ref="Q60:S60"/>
    <mergeCell ref="F49:L49"/>
    <mergeCell ref="N49:P49"/>
    <mergeCell ref="Q49:S49"/>
    <mergeCell ref="F54:K54"/>
    <mergeCell ref="N54:P54"/>
    <mergeCell ref="Q54:S54"/>
    <mergeCell ref="F55:K55"/>
    <mergeCell ref="N55:P55"/>
    <mergeCell ref="Q55:S55"/>
    <mergeCell ref="F35:K35"/>
    <mergeCell ref="N35:P35"/>
    <mergeCell ref="Q35:S35"/>
    <mergeCell ref="F36:K36"/>
    <mergeCell ref="N36:P36"/>
    <mergeCell ref="Q36:S36"/>
    <mergeCell ref="F40:K40"/>
    <mergeCell ref="N40:P40"/>
    <mergeCell ref="Q40:S40"/>
    <mergeCell ref="F37:K37"/>
    <mergeCell ref="N37:P37"/>
    <mergeCell ref="Q37:S37"/>
    <mergeCell ref="F38:K38"/>
    <mergeCell ref="N38:P38"/>
    <mergeCell ref="Q38:S38"/>
    <mergeCell ref="F39:K39"/>
    <mergeCell ref="N39:P39"/>
    <mergeCell ref="Q39:S39"/>
    <mergeCell ref="F33:K33"/>
    <mergeCell ref="N33:P33"/>
    <mergeCell ref="Q33:S33"/>
    <mergeCell ref="F34:K34"/>
    <mergeCell ref="N34:P34"/>
    <mergeCell ref="Q34:S34"/>
    <mergeCell ref="F31:K31"/>
    <mergeCell ref="N31:P31"/>
    <mergeCell ref="Q31:S31"/>
    <mergeCell ref="F32:K32"/>
    <mergeCell ref="N32:P32"/>
    <mergeCell ref="Q32:S32"/>
    <mergeCell ref="F29:K29"/>
    <mergeCell ref="N29:P29"/>
    <mergeCell ref="Q29:S29"/>
    <mergeCell ref="F30:K30"/>
    <mergeCell ref="N30:P30"/>
    <mergeCell ref="Q30:S30"/>
    <mergeCell ref="F27:K27"/>
    <mergeCell ref="N27:P27"/>
    <mergeCell ref="Q27:S27"/>
    <mergeCell ref="F28:K28"/>
    <mergeCell ref="N28:P28"/>
    <mergeCell ref="Q28:S28"/>
    <mergeCell ref="F25:K25"/>
    <mergeCell ref="N25:P25"/>
    <mergeCell ref="Q25:S25"/>
    <mergeCell ref="F26:K26"/>
    <mergeCell ref="N26:P26"/>
    <mergeCell ref="Q26:S26"/>
    <mergeCell ref="F23:K23"/>
    <mergeCell ref="N23:P23"/>
    <mergeCell ref="Q23:S23"/>
    <mergeCell ref="F24:K24"/>
    <mergeCell ref="N24:P24"/>
    <mergeCell ref="Q24:S24"/>
    <mergeCell ref="F21:K21"/>
    <mergeCell ref="N21:P21"/>
    <mergeCell ref="Q21:S21"/>
    <mergeCell ref="F22:K22"/>
    <mergeCell ref="N22:P22"/>
    <mergeCell ref="Q22:S22"/>
    <mergeCell ref="F19:K19"/>
    <mergeCell ref="N19:P19"/>
    <mergeCell ref="Q19:S19"/>
    <mergeCell ref="F20:K20"/>
    <mergeCell ref="N20:P20"/>
    <mergeCell ref="Q20:S20"/>
    <mergeCell ref="F17:K17"/>
    <mergeCell ref="N17:P17"/>
    <mergeCell ref="Q17:S17"/>
    <mergeCell ref="F18:K18"/>
    <mergeCell ref="N18:P18"/>
    <mergeCell ref="Q18:S18"/>
    <mergeCell ref="F15:K15"/>
    <mergeCell ref="N15:P15"/>
    <mergeCell ref="Q15:S15"/>
    <mergeCell ref="F16:K16"/>
    <mergeCell ref="N16:P16"/>
    <mergeCell ref="Q16:S16"/>
    <mergeCell ref="F13:K13"/>
    <mergeCell ref="N13:P13"/>
    <mergeCell ref="Q13:S13"/>
    <mergeCell ref="F14:K14"/>
    <mergeCell ref="N14:P14"/>
    <mergeCell ref="Q14:S14"/>
    <mergeCell ref="P8:Q8"/>
    <mergeCell ref="R8:S8"/>
    <mergeCell ref="F10:K10"/>
    <mergeCell ref="N10:P10"/>
    <mergeCell ref="Q10:S10"/>
    <mergeCell ref="F11:S11"/>
    <mergeCell ref="F12:K12"/>
    <mergeCell ref="N12:P12"/>
    <mergeCell ref="Q12:S12"/>
    <mergeCell ref="H4:M4"/>
    <mergeCell ref="V4:W4"/>
    <mergeCell ref="H5:M5"/>
    <mergeCell ref="N5:P6"/>
    <mergeCell ref="H6:M6"/>
    <mergeCell ref="E8:F8"/>
    <mergeCell ref="G8:H8"/>
    <mergeCell ref="I8:J8"/>
    <mergeCell ref="L8:M8"/>
    <mergeCell ref="N8:O8"/>
    <mergeCell ref="F50:L50"/>
    <mergeCell ref="N50:P50"/>
    <mergeCell ref="Q50:S50"/>
    <mergeCell ref="F56:K56"/>
    <mergeCell ref="N56:P56"/>
    <mergeCell ref="Q56:S56"/>
    <mergeCell ref="F57:K57"/>
    <mergeCell ref="N57:P57"/>
    <mergeCell ref="Q57:S57"/>
  </mergeCells>
  <printOptions horizontalCentered="1"/>
  <pageMargins left="0" right="0" top="0" bottom="0.75" header="1.1811023622047201" footer="0.393700787"/>
  <pageSetup paperSize="9" orientation="portrait" r:id="rId1"/>
  <headerFooter>
    <oddHeader xml:space="preserve">&amp;L&amp;"B Nazanin,Regular"&amp;9                           &amp;Pاز&amp;N      </oddHeader>
    <oddFooter>&amp;Lپیمانکار:                                  &amp;C&amp;"B Nazanin,Regular"&amp;10                                    واحد اداری:                                    &amp;R&amp;"B Nazanin,Regular"&amp;10                                 واحد انبار :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44"/>
  <sheetViews>
    <sheetView rightToLeft="1" view="pageBreakPreview" zoomScale="70" zoomScaleNormal="70" zoomScaleSheetLayoutView="70" workbookViewId="0">
      <selection activeCell="H17" sqref="H17:H18"/>
    </sheetView>
    <sheetView rightToLeft="1" workbookViewId="1"/>
  </sheetViews>
  <sheetFormatPr defaultColWidth="9.125" defaultRowHeight="18.75"/>
  <cols>
    <col min="1" max="1" width="3" style="97" customWidth="1"/>
    <col min="2" max="2" width="5" style="97" customWidth="1"/>
    <col min="3" max="3" width="9.125" style="97" bestFit="1" customWidth="1"/>
    <col min="4" max="4" width="79.25" style="97" customWidth="1"/>
    <col min="5" max="5" width="15.75" style="97" customWidth="1"/>
    <col min="6" max="6" width="17" style="97" customWidth="1"/>
    <col min="7" max="7" width="16.375" style="97" customWidth="1"/>
    <col min="8" max="8" width="23" style="97" customWidth="1"/>
    <col min="9" max="9" width="0" style="97" hidden="1" customWidth="1"/>
    <col min="10" max="10" width="5.375" style="97" customWidth="1"/>
    <col min="11" max="11" width="2.75" style="97" customWidth="1"/>
    <col min="12" max="16384" width="9.125" style="97"/>
  </cols>
  <sheetData>
    <row r="1" spans="2:10" ht="19.5" thickBot="1"/>
    <row r="2" spans="2:10" ht="30">
      <c r="B2" s="98"/>
      <c r="C2" s="350" t="s">
        <v>181</v>
      </c>
      <c r="D2" s="351"/>
      <c r="E2" s="351"/>
      <c r="F2" s="351"/>
      <c r="G2" s="351"/>
      <c r="H2" s="352"/>
      <c r="I2" s="99" t="s">
        <v>56</v>
      </c>
      <c r="J2" s="100"/>
    </row>
    <row r="3" spans="2:10" ht="30">
      <c r="B3" s="98"/>
      <c r="C3" s="353"/>
      <c r="D3" s="354"/>
      <c r="E3" s="354"/>
      <c r="F3" s="354"/>
      <c r="G3" s="354"/>
      <c r="H3" s="355"/>
      <c r="I3" s="99"/>
      <c r="J3" s="100"/>
    </row>
    <row r="4" spans="2:10" ht="32.25" customHeight="1">
      <c r="B4" s="98"/>
      <c r="C4" s="356" t="s">
        <v>0</v>
      </c>
      <c r="D4" s="357" t="s">
        <v>182</v>
      </c>
      <c r="E4" s="357" t="s">
        <v>183</v>
      </c>
      <c r="F4" s="357" t="s">
        <v>1</v>
      </c>
      <c r="G4" s="357" t="s">
        <v>184</v>
      </c>
      <c r="H4" s="358"/>
      <c r="I4" s="99" t="s">
        <v>56</v>
      </c>
      <c r="J4" s="100"/>
    </row>
    <row r="5" spans="2:10" ht="48" hidden="1" customHeight="1">
      <c r="B5" s="98"/>
      <c r="C5" s="356"/>
      <c r="D5" s="357"/>
      <c r="E5" s="357"/>
      <c r="F5" s="357"/>
      <c r="G5" s="101" t="s">
        <v>56</v>
      </c>
      <c r="H5" s="102">
        <f>IF(G5=I2,0,E5*G5)</f>
        <v>0</v>
      </c>
      <c r="I5" s="99" t="s">
        <v>56</v>
      </c>
      <c r="J5" s="100"/>
    </row>
    <row r="6" spans="2:10" ht="48" hidden="1" customHeight="1">
      <c r="B6" s="98"/>
      <c r="C6" s="356"/>
      <c r="D6" s="357"/>
      <c r="E6" s="357"/>
      <c r="F6" s="357"/>
      <c r="G6" s="101" t="s">
        <v>56</v>
      </c>
      <c r="H6" s="102">
        <f>IF(G6=I4,0,E6*G6)</f>
        <v>0</v>
      </c>
      <c r="I6" s="99" t="s">
        <v>56</v>
      </c>
      <c r="J6" s="100"/>
    </row>
    <row r="7" spans="2:10" ht="48" hidden="1" customHeight="1">
      <c r="B7" s="98"/>
      <c r="C7" s="356"/>
      <c r="D7" s="357"/>
      <c r="E7" s="357"/>
      <c r="F7" s="357"/>
      <c r="G7" s="101" t="s">
        <v>56</v>
      </c>
      <c r="H7" s="102">
        <f>IF(G7=I5,0,E7*G7)</f>
        <v>0</v>
      </c>
      <c r="I7" s="99" t="s">
        <v>56</v>
      </c>
      <c r="J7" s="100"/>
    </row>
    <row r="8" spans="2:10" ht="33" customHeight="1">
      <c r="B8" s="98"/>
      <c r="C8" s="356"/>
      <c r="D8" s="357"/>
      <c r="E8" s="357"/>
      <c r="F8" s="357"/>
      <c r="G8" s="103" t="s">
        <v>185</v>
      </c>
      <c r="H8" s="104" t="s">
        <v>186</v>
      </c>
      <c r="I8" s="99"/>
      <c r="J8" s="100"/>
    </row>
    <row r="9" spans="2:10" ht="20.100000000000001" customHeight="1">
      <c r="B9" s="98"/>
      <c r="C9" s="334">
        <v>1</v>
      </c>
      <c r="D9" s="336" t="s">
        <v>187</v>
      </c>
      <c r="E9" s="344">
        <f>800*6</f>
        <v>4800</v>
      </c>
      <c r="F9" s="346" t="s">
        <v>102</v>
      </c>
      <c r="G9" s="342">
        <v>35000</v>
      </c>
      <c r="H9" s="332">
        <f t="shared" ref="H9" si="0">G9*E9</f>
        <v>168000000</v>
      </c>
      <c r="I9" s="99"/>
      <c r="J9" s="100"/>
    </row>
    <row r="10" spans="2:10" ht="20.100000000000001" customHeight="1">
      <c r="B10" s="98"/>
      <c r="C10" s="335"/>
      <c r="D10" s="337"/>
      <c r="E10" s="345"/>
      <c r="F10" s="347"/>
      <c r="G10" s="343"/>
      <c r="H10" s="333"/>
      <c r="I10" s="99"/>
      <c r="J10" s="100"/>
    </row>
    <row r="11" spans="2:10" ht="20.100000000000001" customHeight="1">
      <c r="B11" s="98"/>
      <c r="C11" s="334">
        <v>2</v>
      </c>
      <c r="D11" s="336" t="s">
        <v>188</v>
      </c>
      <c r="E11" s="344">
        <f>8000*7</f>
        <v>56000</v>
      </c>
      <c r="F11" s="346" t="s">
        <v>189</v>
      </c>
      <c r="G11" s="342">
        <v>20000</v>
      </c>
      <c r="H11" s="332">
        <f t="shared" ref="H11" si="1">G11*E11</f>
        <v>1120000000</v>
      </c>
      <c r="I11" s="99"/>
      <c r="J11" s="100"/>
    </row>
    <row r="12" spans="2:10" ht="20.100000000000001" customHeight="1">
      <c r="B12" s="98"/>
      <c r="C12" s="335"/>
      <c r="D12" s="337"/>
      <c r="E12" s="345"/>
      <c r="F12" s="347"/>
      <c r="G12" s="343"/>
      <c r="H12" s="333"/>
      <c r="I12" s="99"/>
      <c r="J12" s="100"/>
    </row>
    <row r="13" spans="2:10" ht="20.100000000000001" customHeight="1">
      <c r="B13" s="98"/>
      <c r="C13" s="334">
        <v>3</v>
      </c>
      <c r="D13" s="336" t="s">
        <v>190</v>
      </c>
      <c r="E13" s="344">
        <f>5000*3</f>
        <v>15000</v>
      </c>
      <c r="F13" s="346" t="s">
        <v>189</v>
      </c>
      <c r="G13" s="342">
        <v>20000</v>
      </c>
      <c r="H13" s="332">
        <f t="shared" ref="H13:H17" si="2">G13*E13</f>
        <v>300000000</v>
      </c>
      <c r="I13" s="99"/>
      <c r="J13" s="100"/>
    </row>
    <row r="14" spans="2:10" ht="20.100000000000001" customHeight="1">
      <c r="B14" s="98"/>
      <c r="C14" s="335"/>
      <c r="D14" s="337"/>
      <c r="E14" s="345"/>
      <c r="F14" s="347"/>
      <c r="G14" s="343"/>
      <c r="H14" s="333"/>
      <c r="I14" s="99"/>
      <c r="J14" s="100"/>
    </row>
    <row r="15" spans="2:10" ht="20.100000000000001" customHeight="1">
      <c r="B15" s="98"/>
      <c r="C15" s="334">
        <v>4</v>
      </c>
      <c r="D15" s="336" t="s">
        <v>191</v>
      </c>
      <c r="E15" s="344">
        <f>4000*3</f>
        <v>12000</v>
      </c>
      <c r="F15" s="346" t="s">
        <v>189</v>
      </c>
      <c r="G15" s="342">
        <v>25000</v>
      </c>
      <c r="H15" s="332">
        <f t="shared" si="2"/>
        <v>300000000</v>
      </c>
      <c r="I15" s="99"/>
      <c r="J15" s="100"/>
    </row>
    <row r="16" spans="2:10" ht="20.100000000000001" customHeight="1">
      <c r="B16" s="98"/>
      <c r="C16" s="335"/>
      <c r="D16" s="337"/>
      <c r="E16" s="345"/>
      <c r="F16" s="347"/>
      <c r="G16" s="343"/>
      <c r="H16" s="333"/>
      <c r="I16" s="99"/>
      <c r="J16" s="100"/>
    </row>
    <row r="17" spans="2:22" ht="20.100000000000001" customHeight="1">
      <c r="B17" s="98"/>
      <c r="C17" s="334">
        <v>5</v>
      </c>
      <c r="D17" s="336" t="s">
        <v>192</v>
      </c>
      <c r="E17" s="344">
        <f>+SUM(E11:E16)</f>
        <v>83000</v>
      </c>
      <c r="F17" s="346" t="s">
        <v>189</v>
      </c>
      <c r="G17" s="342">
        <v>2000</v>
      </c>
      <c r="H17" s="332">
        <f t="shared" si="2"/>
        <v>166000000</v>
      </c>
      <c r="I17" s="99"/>
      <c r="J17" s="100"/>
    </row>
    <row r="18" spans="2:22" ht="20.100000000000001" customHeight="1">
      <c r="B18" s="98"/>
      <c r="C18" s="335"/>
      <c r="D18" s="337"/>
      <c r="E18" s="345"/>
      <c r="F18" s="347"/>
      <c r="G18" s="343"/>
      <c r="H18" s="333"/>
      <c r="I18" s="99"/>
      <c r="J18" s="100"/>
    </row>
    <row r="19" spans="2:22" ht="20.100000000000001" customHeight="1">
      <c r="B19" s="98"/>
      <c r="C19" s="334">
        <v>6</v>
      </c>
      <c r="D19" s="336" t="s">
        <v>193</v>
      </c>
      <c r="E19" s="344">
        <f>1000*7</f>
        <v>7000</v>
      </c>
      <c r="F19" s="346" t="s">
        <v>102</v>
      </c>
      <c r="G19" s="342">
        <v>10000</v>
      </c>
      <c r="H19" s="332">
        <f t="shared" ref="H19" si="3">G19*E19</f>
        <v>70000000</v>
      </c>
      <c r="I19" s="99"/>
      <c r="J19" s="100"/>
    </row>
    <row r="20" spans="2:22" ht="20.100000000000001" customHeight="1">
      <c r="B20" s="98"/>
      <c r="C20" s="335"/>
      <c r="D20" s="337"/>
      <c r="E20" s="345"/>
      <c r="F20" s="347"/>
      <c r="G20" s="343"/>
      <c r="H20" s="333"/>
      <c r="I20" s="99"/>
      <c r="J20" s="100"/>
      <c r="V20" s="97">
        <f>70*12/0.8</f>
        <v>1050</v>
      </c>
    </row>
    <row r="21" spans="2:22" ht="20.100000000000001" customHeight="1">
      <c r="B21" s="98"/>
      <c r="C21" s="334">
        <v>7</v>
      </c>
      <c r="D21" s="336" t="s">
        <v>194</v>
      </c>
      <c r="E21" s="348" t="s">
        <v>56</v>
      </c>
      <c r="F21" s="340" t="s">
        <v>195</v>
      </c>
      <c r="G21" s="342">
        <v>1500000</v>
      </c>
      <c r="H21" s="332" t="s">
        <v>56</v>
      </c>
      <c r="I21" s="99"/>
      <c r="J21" s="100"/>
    </row>
    <row r="22" spans="2:22" ht="20.100000000000001" customHeight="1">
      <c r="B22" s="98"/>
      <c r="C22" s="335"/>
      <c r="D22" s="337"/>
      <c r="E22" s="349"/>
      <c r="F22" s="341"/>
      <c r="G22" s="343"/>
      <c r="H22" s="333"/>
      <c r="I22" s="99"/>
      <c r="J22" s="100"/>
    </row>
    <row r="23" spans="2:22" ht="20.100000000000001" customHeight="1">
      <c r="B23" s="98"/>
      <c r="C23" s="334">
        <v>8</v>
      </c>
      <c r="D23" s="336" t="s">
        <v>196</v>
      </c>
      <c r="E23" s="338" t="s">
        <v>56</v>
      </c>
      <c r="F23" s="340" t="s">
        <v>195</v>
      </c>
      <c r="G23" s="342">
        <v>1000000</v>
      </c>
      <c r="H23" s="332" t="s">
        <v>56</v>
      </c>
      <c r="I23" s="99"/>
      <c r="J23" s="100"/>
    </row>
    <row r="24" spans="2:22" ht="20.100000000000001" customHeight="1">
      <c r="B24" s="98"/>
      <c r="C24" s="335"/>
      <c r="D24" s="337"/>
      <c r="E24" s="339"/>
      <c r="F24" s="341"/>
      <c r="G24" s="343"/>
      <c r="H24" s="333"/>
      <c r="I24" s="99"/>
      <c r="J24" s="100"/>
    </row>
    <row r="25" spans="2:22" ht="25.5" customHeight="1">
      <c r="B25" s="98"/>
      <c r="C25" s="334">
        <v>9</v>
      </c>
      <c r="D25" s="336" t="s">
        <v>197</v>
      </c>
      <c r="E25" s="338" t="s">
        <v>56</v>
      </c>
      <c r="F25" s="340" t="s">
        <v>195</v>
      </c>
      <c r="G25" s="342">
        <v>700000</v>
      </c>
      <c r="H25" s="332" t="s">
        <v>56</v>
      </c>
      <c r="I25" s="99"/>
      <c r="J25" s="100"/>
    </row>
    <row r="26" spans="2:22" ht="25.5" customHeight="1" thickBot="1">
      <c r="B26" s="98"/>
      <c r="C26" s="335"/>
      <c r="D26" s="337"/>
      <c r="E26" s="339"/>
      <c r="F26" s="341"/>
      <c r="G26" s="343"/>
      <c r="H26" s="333"/>
      <c r="I26" s="99"/>
      <c r="J26" s="100"/>
    </row>
    <row r="27" spans="2:22" ht="42" customHeight="1">
      <c r="B27" s="98"/>
      <c r="C27" s="322" t="s">
        <v>198</v>
      </c>
      <c r="D27" s="323"/>
      <c r="E27" s="323"/>
      <c r="F27" s="323"/>
      <c r="G27" s="324">
        <f>SUM(H9:H26)</f>
        <v>2124000000</v>
      </c>
      <c r="H27" s="325"/>
      <c r="I27" s="99"/>
      <c r="J27" s="100"/>
    </row>
    <row r="28" spans="2:22" ht="42" customHeight="1" thickBot="1">
      <c r="B28" s="98"/>
      <c r="C28" s="326" t="s">
        <v>199</v>
      </c>
      <c r="D28" s="327"/>
      <c r="E28" s="328" t="e">
        <f ca="1">+[2]!d2a(G27)&amp;"ريال"</f>
        <v>#NAME?</v>
      </c>
      <c r="F28" s="328"/>
      <c r="G28" s="328"/>
      <c r="H28" s="329"/>
      <c r="I28" s="99"/>
      <c r="J28" s="100"/>
    </row>
    <row r="29" spans="2:22" ht="42.75" customHeight="1">
      <c r="B29" s="98"/>
      <c r="C29" s="105"/>
      <c r="D29" s="106"/>
      <c r="E29" s="107"/>
      <c r="F29" s="107"/>
      <c r="G29" s="105"/>
      <c r="H29" s="105"/>
      <c r="I29" s="99"/>
      <c r="J29" s="100"/>
    </row>
    <row r="30" spans="2:22" ht="42.75" customHeight="1">
      <c r="B30" s="98"/>
      <c r="C30" s="99"/>
      <c r="D30" s="108"/>
      <c r="E30" s="109"/>
      <c r="F30" s="109"/>
      <c r="G30" s="99"/>
      <c r="H30" s="99"/>
      <c r="I30" s="99"/>
      <c r="J30" s="100"/>
    </row>
    <row r="31" spans="2:22" ht="42.75" customHeight="1">
      <c r="B31" s="98"/>
      <c r="C31" s="99"/>
      <c r="D31" s="108"/>
      <c r="E31" s="109"/>
      <c r="F31" s="109"/>
      <c r="G31" s="99"/>
      <c r="H31" s="99"/>
      <c r="I31" s="99"/>
      <c r="J31" s="100"/>
    </row>
    <row r="32" spans="2:22" ht="35.25" customHeight="1">
      <c r="B32" s="98"/>
      <c r="C32" s="330" t="s">
        <v>200</v>
      </c>
      <c r="D32" s="330"/>
      <c r="E32" s="330"/>
      <c r="F32" s="330"/>
      <c r="G32" s="330"/>
      <c r="H32" s="330"/>
      <c r="I32" s="99"/>
      <c r="J32" s="100"/>
    </row>
    <row r="33" spans="2:10" ht="36.75" customHeight="1">
      <c r="B33" s="110"/>
      <c r="C33" s="331" t="s">
        <v>201</v>
      </c>
      <c r="D33" s="331"/>
      <c r="E33" s="331"/>
      <c r="F33" s="331"/>
      <c r="G33" s="331"/>
      <c r="H33" s="331"/>
      <c r="I33" s="99"/>
      <c r="J33" s="100"/>
    </row>
    <row r="34" spans="2:10" ht="36.75" customHeight="1">
      <c r="B34" s="110"/>
      <c r="C34" s="331" t="s">
        <v>202</v>
      </c>
      <c r="D34" s="331"/>
      <c r="E34" s="331"/>
      <c r="F34" s="331"/>
      <c r="G34" s="331"/>
      <c r="H34" s="331"/>
      <c r="I34" s="99"/>
      <c r="J34" s="100"/>
    </row>
    <row r="35" spans="2:10" ht="36.75" customHeight="1">
      <c r="B35" s="98"/>
      <c r="C35" s="331" t="s">
        <v>203</v>
      </c>
      <c r="D35" s="331"/>
      <c r="E35" s="331"/>
      <c r="F35" s="331"/>
      <c r="G35" s="331"/>
      <c r="H35" s="331"/>
      <c r="I35" s="99"/>
      <c r="J35" s="100"/>
    </row>
    <row r="36" spans="2:10" ht="36.75" customHeight="1">
      <c r="B36" s="98"/>
      <c r="C36" s="331" t="s">
        <v>204</v>
      </c>
      <c r="D36" s="331"/>
      <c r="E36" s="331"/>
      <c r="F36" s="331"/>
      <c r="G36" s="331"/>
      <c r="H36" s="331"/>
      <c r="I36" s="99"/>
      <c r="J36" s="100"/>
    </row>
    <row r="37" spans="2:10" ht="35.25" customHeight="1">
      <c r="B37" s="98"/>
      <c r="C37" s="331" t="s">
        <v>205</v>
      </c>
      <c r="D37" s="331"/>
      <c r="E37" s="331"/>
      <c r="F37" s="331"/>
      <c r="G37" s="331"/>
      <c r="H37" s="331"/>
      <c r="I37" s="99"/>
      <c r="J37" s="100"/>
    </row>
    <row r="38" spans="2:10" ht="35.25" customHeight="1">
      <c r="B38" s="98"/>
      <c r="C38" s="331"/>
      <c r="D38" s="331"/>
      <c r="E38" s="331"/>
      <c r="F38" s="331"/>
      <c r="G38" s="331"/>
      <c r="H38" s="331"/>
      <c r="I38" s="99"/>
      <c r="J38" s="100"/>
    </row>
    <row r="39" spans="2:10" ht="35.25" customHeight="1">
      <c r="B39" s="98"/>
      <c r="C39" s="111"/>
      <c r="D39" s="111"/>
      <c r="E39" s="111"/>
      <c r="F39" s="111"/>
      <c r="G39" s="111"/>
      <c r="H39" s="111"/>
      <c r="I39" s="99"/>
      <c r="J39" s="100"/>
    </row>
    <row r="40" spans="2:10" ht="35.25" customHeight="1">
      <c r="B40" s="98"/>
      <c r="C40" s="99"/>
      <c r="D40" s="108"/>
      <c r="E40" s="109"/>
      <c r="F40" s="109"/>
      <c r="G40" s="99"/>
      <c r="H40" s="99"/>
      <c r="I40" s="99"/>
      <c r="J40" s="100"/>
    </row>
    <row r="41" spans="2:10" ht="22.5" customHeight="1">
      <c r="B41" s="98"/>
      <c r="C41" s="321" t="s">
        <v>206</v>
      </c>
      <c r="D41" s="321"/>
      <c r="E41" s="321"/>
      <c r="F41" s="321"/>
      <c r="G41" s="321"/>
      <c r="H41" s="321"/>
      <c r="I41" s="99"/>
      <c r="J41" s="100"/>
    </row>
    <row r="42" spans="2:10" ht="22.5" customHeight="1">
      <c r="B42" s="98"/>
      <c r="C42" s="99"/>
      <c r="D42" s="108"/>
      <c r="E42" s="109"/>
      <c r="F42" s="109"/>
      <c r="G42" s="99"/>
      <c r="H42" s="99"/>
      <c r="I42" s="99"/>
      <c r="J42" s="100"/>
    </row>
    <row r="43" spans="2:10">
      <c r="B43" s="98"/>
      <c r="C43" s="99"/>
      <c r="D43" s="99"/>
      <c r="E43" s="99"/>
      <c r="F43" s="99"/>
      <c r="G43" s="99"/>
      <c r="H43" s="99"/>
      <c r="I43" s="99"/>
      <c r="J43" s="100"/>
    </row>
    <row r="44" spans="2:10">
      <c r="B44" s="112"/>
      <c r="C44" s="113"/>
      <c r="D44" s="113"/>
      <c r="E44" s="113"/>
      <c r="F44" s="113"/>
      <c r="G44" s="113"/>
      <c r="H44" s="113"/>
      <c r="I44" s="113"/>
      <c r="J44" s="114"/>
    </row>
  </sheetData>
  <dataConsolidate function="min" topLabels="1">
    <dataRefs count="1">
      <dataRef name="$F$24;$H$24;$J$24;$L$24;$N$24;$P$24;$R$24;$T$24;$V$24" r:id="rId1"/>
    </dataRefs>
  </dataConsolidate>
  <mergeCells count="73">
    <mergeCell ref="H9:H10"/>
    <mergeCell ref="C2:H2"/>
    <mergeCell ref="C3:H3"/>
    <mergeCell ref="C4:C8"/>
    <mergeCell ref="D4:D8"/>
    <mergeCell ref="E4:E8"/>
    <mergeCell ref="F4:F8"/>
    <mergeCell ref="G4:H4"/>
    <mergeCell ref="C9:C10"/>
    <mergeCell ref="D9:D10"/>
    <mergeCell ref="E9:E10"/>
    <mergeCell ref="F9:F10"/>
    <mergeCell ref="G9:G10"/>
    <mergeCell ref="H13:H14"/>
    <mergeCell ref="C11:C12"/>
    <mergeCell ref="D11:D12"/>
    <mergeCell ref="E11:E12"/>
    <mergeCell ref="F11:F12"/>
    <mergeCell ref="G11:G12"/>
    <mergeCell ref="H11:H12"/>
    <mergeCell ref="C13:C14"/>
    <mergeCell ref="D13:D14"/>
    <mergeCell ref="E13:E14"/>
    <mergeCell ref="F13:F14"/>
    <mergeCell ref="G13:G14"/>
    <mergeCell ref="H17:H18"/>
    <mergeCell ref="C15:C16"/>
    <mergeCell ref="D15:D16"/>
    <mergeCell ref="E15:E16"/>
    <mergeCell ref="F15:F16"/>
    <mergeCell ref="G15:G16"/>
    <mergeCell ref="H15:H16"/>
    <mergeCell ref="C17:C18"/>
    <mergeCell ref="D17:D18"/>
    <mergeCell ref="E17:E18"/>
    <mergeCell ref="F17:F18"/>
    <mergeCell ref="G17:G18"/>
    <mergeCell ref="H21:H22"/>
    <mergeCell ref="C19:C20"/>
    <mergeCell ref="D19:D20"/>
    <mergeCell ref="E19:E20"/>
    <mergeCell ref="F19:F20"/>
    <mergeCell ref="G19:G20"/>
    <mergeCell ref="H19:H20"/>
    <mergeCell ref="C21:C22"/>
    <mergeCell ref="D21:D22"/>
    <mergeCell ref="E21:E22"/>
    <mergeCell ref="F21:F22"/>
    <mergeCell ref="G21:G22"/>
    <mergeCell ref="H25:H26"/>
    <mergeCell ref="C23:C24"/>
    <mergeCell ref="D23:D24"/>
    <mergeCell ref="E23:E24"/>
    <mergeCell ref="F23:F24"/>
    <mergeCell ref="G23:G24"/>
    <mergeCell ref="H23:H24"/>
    <mergeCell ref="C25:C26"/>
    <mergeCell ref="D25:D26"/>
    <mergeCell ref="E25:E26"/>
    <mergeCell ref="F25:F26"/>
    <mergeCell ref="G25:G26"/>
    <mergeCell ref="C41:H41"/>
    <mergeCell ref="C27:F27"/>
    <mergeCell ref="G27:H27"/>
    <mergeCell ref="C28:D28"/>
    <mergeCell ref="E28:H28"/>
    <mergeCell ref="C32:H32"/>
    <mergeCell ref="C33:H33"/>
    <mergeCell ref="C34:H34"/>
    <mergeCell ref="C35:H35"/>
    <mergeCell ref="C36:H36"/>
    <mergeCell ref="C37:H37"/>
    <mergeCell ref="C38:H38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5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rightToLeft="1" workbookViewId="0">
      <selection activeCell="E4" sqref="E4"/>
    </sheetView>
    <sheetView rightToLeft="1" workbookViewId="1">
      <selection activeCell="C11" sqref="C11:O11"/>
    </sheetView>
  </sheetViews>
  <sheetFormatPr defaultRowHeight="15"/>
  <cols>
    <col min="1" max="1" width="6.375" customWidth="1"/>
    <col min="2" max="2" width="19.125" customWidth="1"/>
    <col min="3" max="3" width="9.375" customWidth="1"/>
    <col min="4" max="4" width="10" customWidth="1"/>
    <col min="5" max="5" width="14.625" customWidth="1"/>
    <col min="6" max="6" width="14.375" customWidth="1"/>
    <col min="7" max="7" width="11.625" customWidth="1"/>
    <col min="8" max="8" width="10.25" customWidth="1"/>
    <col min="9" max="9" width="14" bestFit="1" customWidth="1"/>
  </cols>
  <sheetData>
    <row r="1" spans="1:10" ht="35.25" customHeight="1">
      <c r="A1" s="151" t="s">
        <v>419</v>
      </c>
      <c r="C1" s="163"/>
      <c r="D1" s="164" t="s">
        <v>424</v>
      </c>
      <c r="E1" s="165">
        <f>+روکش!H7</f>
        <v>1</v>
      </c>
      <c r="F1" s="164" t="s">
        <v>423</v>
      </c>
      <c r="G1" s="164" t="str">
        <f>+روکش!N8</f>
        <v>1398/04/26</v>
      </c>
      <c r="H1" s="131"/>
    </row>
    <row r="2" spans="1:10" ht="12.75" customHeight="1" thickBot="1">
      <c r="A2" s="151"/>
      <c r="D2" s="130"/>
      <c r="E2" s="132"/>
      <c r="F2" s="132"/>
      <c r="G2" s="132"/>
      <c r="H2" s="131"/>
    </row>
    <row r="3" spans="1:10" ht="33" customHeight="1">
      <c r="A3" s="152" t="s">
        <v>0</v>
      </c>
      <c r="B3" s="153" t="s">
        <v>406</v>
      </c>
      <c r="C3" s="153" t="s">
        <v>1</v>
      </c>
      <c r="D3" s="154" t="s">
        <v>407</v>
      </c>
      <c r="E3" s="155" t="s">
        <v>417</v>
      </c>
      <c r="F3" s="155" t="s">
        <v>418</v>
      </c>
      <c r="G3" s="154" t="s">
        <v>408</v>
      </c>
      <c r="H3" s="156" t="s">
        <v>422</v>
      </c>
    </row>
    <row r="4" spans="1:10" ht="32.25" customHeight="1">
      <c r="A4" s="157">
        <v>1</v>
      </c>
      <c r="B4" s="145" t="s">
        <v>409</v>
      </c>
      <c r="C4" s="145" t="s">
        <v>102</v>
      </c>
      <c r="D4" s="146">
        <v>230</v>
      </c>
      <c r="E4" s="146">
        <v>158</v>
      </c>
      <c r="F4" s="146">
        <v>0</v>
      </c>
      <c r="G4" s="146">
        <v>60</v>
      </c>
      <c r="H4" s="158">
        <f>+G4+F4+E4-D4</f>
        <v>-12</v>
      </c>
      <c r="J4" s="133"/>
    </row>
    <row r="5" spans="1:10" ht="32.25" customHeight="1">
      <c r="A5" s="159">
        <v>2</v>
      </c>
      <c r="B5" s="147" t="s">
        <v>410</v>
      </c>
      <c r="C5" s="147" t="s">
        <v>102</v>
      </c>
      <c r="D5" s="148">
        <v>250</v>
      </c>
      <c r="E5" s="148">
        <v>137</v>
      </c>
      <c r="F5" s="148">
        <f>22+24+48+36</f>
        <v>130</v>
      </c>
      <c r="G5" s="148">
        <v>0</v>
      </c>
      <c r="H5" s="160">
        <f t="shared" ref="H5:H10" si="0">+G5+F5+E5-D5</f>
        <v>17</v>
      </c>
      <c r="J5" s="133"/>
    </row>
    <row r="6" spans="1:10" ht="32.25" customHeight="1">
      <c r="A6" s="159">
        <v>3</v>
      </c>
      <c r="B6" s="147" t="s">
        <v>411</v>
      </c>
      <c r="C6" s="147" t="s">
        <v>102</v>
      </c>
      <c r="D6" s="148">
        <v>2</v>
      </c>
      <c r="E6" s="148">
        <v>2</v>
      </c>
      <c r="F6" s="148">
        <v>0</v>
      </c>
      <c r="G6" s="148">
        <v>0</v>
      </c>
      <c r="H6" s="160">
        <f t="shared" si="0"/>
        <v>0</v>
      </c>
      <c r="J6" s="133"/>
    </row>
    <row r="7" spans="1:10" ht="32.25" customHeight="1">
      <c r="A7" s="159">
        <v>4</v>
      </c>
      <c r="B7" s="147" t="s">
        <v>412</v>
      </c>
      <c r="C7" s="147" t="s">
        <v>102</v>
      </c>
      <c r="D7" s="148">
        <v>734</v>
      </c>
      <c r="E7" s="148">
        <v>444</v>
      </c>
      <c r="F7" s="148">
        <f>19*2+17*2+18*2+19*2+23*2+16</f>
        <v>208</v>
      </c>
      <c r="G7" s="148">
        <f>15+25+25</f>
        <v>65</v>
      </c>
      <c r="H7" s="160">
        <f>+G7+F7+E7-D7+4</f>
        <v>-13</v>
      </c>
      <c r="I7" s="139"/>
      <c r="J7" s="133"/>
    </row>
    <row r="8" spans="1:10" ht="32.25" customHeight="1">
      <c r="A8" s="159">
        <v>5</v>
      </c>
      <c r="B8" s="147" t="s">
        <v>413</v>
      </c>
      <c r="C8" s="147" t="s">
        <v>414</v>
      </c>
      <c r="D8" s="148">
        <v>88</v>
      </c>
      <c r="E8" s="148">
        <v>74</v>
      </c>
      <c r="F8" s="148">
        <v>94</v>
      </c>
      <c r="G8" s="148">
        <v>10</v>
      </c>
      <c r="H8" s="160">
        <f>+G8+F8+E8-D8</f>
        <v>90</v>
      </c>
      <c r="J8" s="133"/>
    </row>
    <row r="9" spans="1:10" ht="32.25" customHeight="1">
      <c r="A9" s="159">
        <v>6</v>
      </c>
      <c r="B9" s="147" t="s">
        <v>415</v>
      </c>
      <c r="C9" s="147" t="s">
        <v>414</v>
      </c>
      <c r="D9" s="148">
        <v>273</v>
      </c>
      <c r="E9" s="148">
        <v>135</v>
      </c>
      <c r="F9" s="148">
        <f>(94*3+(94/0.6*2.5)+(79*0.7))/6</f>
        <v>121.49444444444445</v>
      </c>
      <c r="G9" s="148">
        <f>60+20</f>
        <v>80</v>
      </c>
      <c r="H9" s="160">
        <f t="shared" si="0"/>
        <v>63.494444444444468</v>
      </c>
      <c r="J9" s="133"/>
    </row>
    <row r="10" spans="1:10" ht="42" customHeight="1" thickBot="1">
      <c r="A10" s="161">
        <v>7</v>
      </c>
      <c r="B10" s="149" t="s">
        <v>416</v>
      </c>
      <c r="C10" s="149" t="s">
        <v>414</v>
      </c>
      <c r="D10" s="150">
        <v>40</v>
      </c>
      <c r="E10" s="150">
        <v>6</v>
      </c>
      <c r="F10" s="150">
        <f>(7*8*0.35)/6</f>
        <v>3.2666666666666662</v>
      </c>
      <c r="G10" s="150">
        <v>0</v>
      </c>
      <c r="H10" s="162">
        <f t="shared" si="0"/>
        <v>-30.733333333333334</v>
      </c>
      <c r="J10" s="133"/>
    </row>
    <row r="11" spans="1:10" ht="41.25" customHeight="1">
      <c r="A11" s="134"/>
      <c r="B11" s="135"/>
      <c r="C11" s="135"/>
      <c r="D11" s="136"/>
      <c r="E11" s="136"/>
      <c r="F11" s="136"/>
      <c r="G11" s="137"/>
      <c r="H11" s="138"/>
    </row>
    <row r="12" spans="1:10" ht="23.25" customHeight="1">
      <c r="B12" s="166" t="s">
        <v>425</v>
      </c>
    </row>
    <row r="39" spans="2:6" s="3" customFormat="1" ht="18">
      <c r="B39" s="3" t="s">
        <v>420</v>
      </c>
      <c r="F39" s="3" t="s">
        <v>421</v>
      </c>
    </row>
  </sheetData>
  <printOptions horizontalCentered="1"/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"/>
  <sheetViews>
    <sheetView rightToLeft="1" view="pageBreakPreview" zoomScale="85" zoomScaleNormal="85" zoomScaleSheetLayoutView="85" zoomScalePageLayoutView="85" workbookViewId="0">
      <selection activeCell="C11" sqref="C11:O11"/>
    </sheetView>
    <sheetView rightToLeft="1" workbookViewId="1">
      <selection activeCell="I53" sqref="I53:I87"/>
    </sheetView>
  </sheetViews>
  <sheetFormatPr defaultRowHeight="15"/>
  <cols>
    <col min="1" max="1" width="0.875" customWidth="1"/>
    <col min="2" max="2" width="3.75" customWidth="1"/>
    <col min="3" max="4" width="4.75" customWidth="1"/>
    <col min="5" max="5" width="11.875" customWidth="1"/>
    <col min="6" max="6" width="8" customWidth="1"/>
    <col min="7" max="7" width="9.875" customWidth="1"/>
    <col min="8" max="8" width="5" customWidth="1"/>
    <col min="9" max="9" width="6" bestFit="1" customWidth="1"/>
    <col min="10" max="10" width="5.25" bestFit="1" customWidth="1"/>
    <col min="11" max="11" width="7.125" customWidth="1"/>
    <col min="12" max="12" width="5" customWidth="1"/>
    <col min="13" max="13" width="7.875" customWidth="1"/>
    <col min="14" max="14" width="5.125" style="24" customWidth="1"/>
    <col min="15" max="15" width="4.375" style="24" customWidth="1"/>
    <col min="16" max="16" width="4.625" customWidth="1"/>
    <col min="17" max="17" width="2.75" customWidth="1"/>
    <col min="18" max="18" width="2" customWidth="1"/>
    <col min="19" max="19" width="0.875" customWidth="1"/>
    <col min="20" max="20" width="0.375" customWidth="1"/>
    <col min="21" max="21" width="16.25" customWidth="1"/>
    <col min="23" max="23" width="21.75" customWidth="1"/>
  </cols>
  <sheetData>
    <row r="1" spans="1:21" ht="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0"/>
      <c r="O1" s="20"/>
      <c r="P1" s="3"/>
      <c r="Q1" s="3"/>
      <c r="R1" s="3"/>
    </row>
    <row r="2" spans="1:21" ht="4.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1"/>
      <c r="O2" s="21"/>
      <c r="P2" s="7"/>
      <c r="Q2" s="7"/>
      <c r="R2" s="7"/>
      <c r="S2" s="8"/>
      <c r="T2" s="8"/>
    </row>
    <row r="3" spans="1:21" ht="3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2"/>
      <c r="O3" s="22"/>
      <c r="P3" s="5"/>
      <c r="Q3" s="5"/>
      <c r="R3" s="5"/>
      <c r="S3" s="9"/>
      <c r="T3" s="8"/>
    </row>
    <row r="4" spans="1:21" ht="18.75" customHeight="1">
      <c r="A4" s="6"/>
      <c r="B4" s="16"/>
      <c r="C4" s="16"/>
      <c r="D4" s="16"/>
      <c r="E4" s="16"/>
      <c r="F4" s="209" t="str">
        <f>روکش!F3</f>
        <v>شرکت مهندسی و اجراءِ ژالکه</v>
      </c>
      <c r="G4" s="209"/>
      <c r="H4" s="209"/>
      <c r="I4" s="209"/>
      <c r="J4" s="209"/>
      <c r="K4" s="209"/>
      <c r="N4"/>
      <c r="O4" s="23"/>
      <c r="P4" s="16"/>
      <c r="Q4" s="16"/>
      <c r="R4" s="16"/>
      <c r="S4" s="10"/>
      <c r="T4" s="8"/>
    </row>
    <row r="5" spans="1:21" ht="18.75" customHeight="1">
      <c r="A5" s="6"/>
      <c r="B5" s="16"/>
      <c r="C5" s="16"/>
      <c r="D5" s="16"/>
      <c r="E5" s="16"/>
      <c r="F5" s="209" t="str">
        <f>روکش!F4</f>
        <v>کارگاه پروژه خلیج فارس - یزد</v>
      </c>
      <c r="G5" s="209"/>
      <c r="H5" s="209"/>
      <c r="I5" s="209"/>
      <c r="J5" s="209"/>
      <c r="K5" s="209"/>
      <c r="L5" s="294" t="s">
        <v>13</v>
      </c>
      <c r="M5" s="295"/>
      <c r="N5" s="295"/>
      <c r="O5" s="127" t="s">
        <v>14</v>
      </c>
      <c r="P5" s="17" t="s">
        <v>42</v>
      </c>
      <c r="S5" s="10"/>
      <c r="T5" s="8"/>
    </row>
    <row r="6" spans="1:21" ht="18.75" customHeight="1">
      <c r="A6" s="6"/>
      <c r="B6" s="16"/>
      <c r="C6" s="16"/>
      <c r="D6" s="16"/>
      <c r="E6" s="16"/>
      <c r="F6" s="209" t="s">
        <v>54</v>
      </c>
      <c r="G6" s="209"/>
      <c r="H6" s="209"/>
      <c r="I6" s="209"/>
      <c r="J6" s="209"/>
      <c r="K6" s="209"/>
      <c r="L6" s="294"/>
      <c r="M6" s="295"/>
      <c r="N6" s="295"/>
      <c r="O6" s="127" t="s">
        <v>15</v>
      </c>
      <c r="P6" s="17" t="str">
        <f>روکش!Q5</f>
        <v>O</v>
      </c>
      <c r="S6" s="10"/>
      <c r="T6" s="8"/>
    </row>
    <row r="7" spans="1:21" ht="3.75" customHeight="1">
      <c r="A7" s="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23"/>
      <c r="O7" s="23"/>
      <c r="P7" s="16"/>
      <c r="Q7" s="16"/>
      <c r="R7" s="16"/>
      <c r="S7" s="10"/>
      <c r="T7" s="8"/>
    </row>
    <row r="8" spans="1:21" ht="23.25" customHeight="1">
      <c r="A8" s="6"/>
      <c r="B8" s="296" t="s">
        <v>44</v>
      </c>
      <c r="C8" s="297"/>
      <c r="D8" s="297"/>
      <c r="E8" s="298"/>
      <c r="F8" s="296" t="str">
        <f>روکش!E10</f>
        <v xml:space="preserve">احمد جامی </v>
      </c>
      <c r="G8" s="298"/>
      <c r="H8" s="299" t="s">
        <v>45</v>
      </c>
      <c r="I8" s="299"/>
      <c r="J8" s="125">
        <f>روکش!H7</f>
        <v>1</v>
      </c>
      <c r="K8" s="232" t="s">
        <v>46</v>
      </c>
      <c r="L8" s="232"/>
      <c r="M8" s="232" t="str">
        <f>روکش!N8</f>
        <v>1398/04/26</v>
      </c>
      <c r="N8" s="232"/>
      <c r="O8" s="232" t="s">
        <v>47</v>
      </c>
      <c r="P8" s="232"/>
      <c r="Q8" s="232"/>
      <c r="R8" s="232"/>
      <c r="S8" s="10"/>
      <c r="T8" s="8"/>
    </row>
    <row r="9" spans="1:21" ht="3.75" customHeight="1">
      <c r="A9" s="6"/>
      <c r="S9" s="10"/>
      <c r="T9" s="8"/>
    </row>
    <row r="10" spans="1:21" ht="18.75" customHeight="1">
      <c r="A10" s="6"/>
      <c r="B10" s="128" t="s">
        <v>0</v>
      </c>
      <c r="C10" s="128" t="s">
        <v>69</v>
      </c>
      <c r="D10" s="128" t="s">
        <v>70</v>
      </c>
      <c r="E10" s="128" t="s">
        <v>71</v>
      </c>
      <c r="F10" s="300" t="s">
        <v>182</v>
      </c>
      <c r="G10" s="300"/>
      <c r="H10" s="300"/>
      <c r="I10" s="128" t="s">
        <v>10</v>
      </c>
      <c r="J10" s="128" t="s">
        <v>7</v>
      </c>
      <c r="K10" s="128" t="s">
        <v>8</v>
      </c>
      <c r="L10" s="128" t="s">
        <v>9</v>
      </c>
      <c r="M10" s="128" t="s">
        <v>333</v>
      </c>
      <c r="N10" s="300" t="s">
        <v>6</v>
      </c>
      <c r="O10" s="300"/>
      <c r="P10" s="300" t="s">
        <v>55</v>
      </c>
      <c r="Q10" s="300"/>
      <c r="R10" s="300"/>
      <c r="S10" s="10"/>
      <c r="T10" s="8"/>
    </row>
    <row r="11" spans="1:21" ht="25.5" customHeight="1">
      <c r="A11" s="6"/>
      <c r="B11" s="32" t="s">
        <v>103</v>
      </c>
      <c r="C11" s="48" t="s">
        <v>80</v>
      </c>
      <c r="D11" s="49" t="s">
        <v>237</v>
      </c>
      <c r="E11" s="119" t="s">
        <v>208</v>
      </c>
      <c r="F11" s="262" t="s">
        <v>207</v>
      </c>
      <c r="G11" s="263"/>
      <c r="H11" s="264"/>
      <c r="I11" s="31">
        <v>4</v>
      </c>
      <c r="J11" s="31"/>
      <c r="K11" s="25"/>
      <c r="L11" s="129">
        <v>5.55</v>
      </c>
      <c r="M11" s="129">
        <v>7.2</v>
      </c>
      <c r="N11" s="283">
        <f t="shared" ref="N11:N56" si="0">IF(AND(I11=0,J11=0,K11=0,L11=0,M11=0),0,ROUND(IF(I11=0,1,I11)*IF(J11=0,1,J11)*IF(K11=0,1,K11)*IF(L11=0,1,L11)*IF(M11=0,1,M11),2))</f>
        <v>159.84</v>
      </c>
      <c r="O11" s="283"/>
      <c r="P11" s="275"/>
      <c r="Q11" s="276"/>
      <c r="R11" s="277"/>
      <c r="S11" s="10"/>
      <c r="T11" s="8"/>
      <c r="U11">
        <f>+L11*I11</f>
        <v>22.2</v>
      </c>
    </row>
    <row r="12" spans="1:21" ht="25.5" customHeight="1">
      <c r="A12" s="6"/>
      <c r="B12" s="32" t="s">
        <v>104</v>
      </c>
      <c r="C12" s="48" t="s">
        <v>80</v>
      </c>
      <c r="D12" s="49" t="s">
        <v>237</v>
      </c>
      <c r="E12" s="119" t="s">
        <v>208</v>
      </c>
      <c r="F12" s="268" t="s">
        <v>209</v>
      </c>
      <c r="G12" s="269"/>
      <c r="H12" s="270"/>
      <c r="I12" s="31">
        <v>3</v>
      </c>
      <c r="J12" s="31"/>
      <c r="K12" s="25"/>
      <c r="L12" s="129">
        <v>5.3</v>
      </c>
      <c r="M12" s="129">
        <v>7.2</v>
      </c>
      <c r="N12" s="283">
        <f t="shared" si="0"/>
        <v>114.48</v>
      </c>
      <c r="O12" s="283"/>
      <c r="P12" s="275"/>
      <c r="Q12" s="276"/>
      <c r="R12" s="277"/>
      <c r="S12" s="10"/>
      <c r="T12" s="8"/>
      <c r="U12">
        <f t="shared" ref="U12:U20" si="1">+L12*I12</f>
        <v>15.899999999999999</v>
      </c>
    </row>
    <row r="13" spans="1:21" ht="25.5" customHeight="1">
      <c r="A13" s="6"/>
      <c r="B13" s="32" t="s">
        <v>105</v>
      </c>
      <c r="C13" s="48" t="s">
        <v>80</v>
      </c>
      <c r="D13" s="49" t="s">
        <v>237</v>
      </c>
      <c r="E13" s="119" t="s">
        <v>208</v>
      </c>
      <c r="F13" s="268" t="s">
        <v>210</v>
      </c>
      <c r="G13" s="269"/>
      <c r="H13" s="270"/>
      <c r="I13" s="31">
        <v>1</v>
      </c>
      <c r="J13" s="31"/>
      <c r="K13" s="25"/>
      <c r="L13" s="129">
        <v>5.9249999999999998</v>
      </c>
      <c r="M13" s="129">
        <v>7.2</v>
      </c>
      <c r="N13" s="283">
        <f t="shared" si="0"/>
        <v>42.66</v>
      </c>
      <c r="O13" s="283"/>
      <c r="P13" s="275"/>
      <c r="Q13" s="276"/>
      <c r="R13" s="277"/>
      <c r="S13" s="10"/>
      <c r="T13" s="8"/>
      <c r="U13">
        <f t="shared" si="1"/>
        <v>5.9249999999999998</v>
      </c>
    </row>
    <row r="14" spans="1:21" ht="25.5" customHeight="1">
      <c r="A14" s="6"/>
      <c r="B14" s="32" t="s">
        <v>238</v>
      </c>
      <c r="C14" s="48" t="s">
        <v>80</v>
      </c>
      <c r="D14" s="49" t="s">
        <v>237</v>
      </c>
      <c r="E14" s="119" t="s">
        <v>212</v>
      </c>
      <c r="F14" s="268" t="s">
        <v>210</v>
      </c>
      <c r="G14" s="269"/>
      <c r="H14" s="270"/>
      <c r="I14" s="31">
        <v>1</v>
      </c>
      <c r="J14" s="31"/>
      <c r="K14" s="25"/>
      <c r="L14" s="129">
        <v>5.9249999999999998</v>
      </c>
      <c r="M14" s="129">
        <v>7.2</v>
      </c>
      <c r="N14" s="283">
        <f t="shared" si="0"/>
        <v>42.66</v>
      </c>
      <c r="O14" s="283"/>
      <c r="P14" s="275"/>
      <c r="Q14" s="276"/>
      <c r="R14" s="277"/>
      <c r="S14" s="10"/>
      <c r="T14" s="8"/>
      <c r="U14">
        <f t="shared" si="1"/>
        <v>5.9249999999999998</v>
      </c>
    </row>
    <row r="15" spans="1:21" ht="25.5" customHeight="1">
      <c r="A15" s="6"/>
      <c r="B15" s="32" t="s">
        <v>239</v>
      </c>
      <c r="C15" s="48" t="s">
        <v>80</v>
      </c>
      <c r="D15" s="49" t="s">
        <v>237</v>
      </c>
      <c r="E15" s="119" t="s">
        <v>214</v>
      </c>
      <c r="F15" s="268" t="s">
        <v>209</v>
      </c>
      <c r="G15" s="269"/>
      <c r="H15" s="270"/>
      <c r="I15" s="31">
        <v>6</v>
      </c>
      <c r="J15" s="31"/>
      <c r="K15" s="25"/>
      <c r="L15" s="129">
        <v>5.3</v>
      </c>
      <c r="M15" s="129">
        <v>7.2</v>
      </c>
      <c r="N15" s="283">
        <f t="shared" si="0"/>
        <v>228.96</v>
      </c>
      <c r="O15" s="283"/>
      <c r="P15" s="275"/>
      <c r="Q15" s="276"/>
      <c r="R15" s="277"/>
      <c r="S15" s="10"/>
      <c r="T15" s="8"/>
      <c r="U15">
        <f t="shared" si="1"/>
        <v>31.799999999999997</v>
      </c>
    </row>
    <row r="16" spans="1:21" ht="25.5" customHeight="1">
      <c r="A16" s="6"/>
      <c r="B16" s="32" t="s">
        <v>240</v>
      </c>
      <c r="C16" s="48" t="s">
        <v>80</v>
      </c>
      <c r="D16" s="49" t="s">
        <v>237</v>
      </c>
      <c r="E16" s="119" t="s">
        <v>214</v>
      </c>
      <c r="F16" s="268" t="s">
        <v>210</v>
      </c>
      <c r="G16" s="269"/>
      <c r="H16" s="270"/>
      <c r="I16" s="31">
        <v>8</v>
      </c>
      <c r="J16" s="31"/>
      <c r="K16" s="25"/>
      <c r="L16" s="129">
        <v>5.9249999999999998</v>
      </c>
      <c r="M16" s="129">
        <v>7.2</v>
      </c>
      <c r="N16" s="283">
        <f t="shared" si="0"/>
        <v>341.28</v>
      </c>
      <c r="O16" s="283"/>
      <c r="P16" s="275"/>
      <c r="Q16" s="276"/>
      <c r="R16" s="277"/>
      <c r="S16" s="10"/>
      <c r="T16" s="8"/>
      <c r="U16">
        <f t="shared" si="1"/>
        <v>47.4</v>
      </c>
    </row>
    <row r="17" spans="1:22" ht="25.5" customHeight="1">
      <c r="A17" s="6"/>
      <c r="B17" s="32" t="s">
        <v>344</v>
      </c>
      <c r="C17" s="48" t="s">
        <v>80</v>
      </c>
      <c r="D17" s="49" t="s">
        <v>237</v>
      </c>
      <c r="E17" s="119" t="s">
        <v>219</v>
      </c>
      <c r="F17" s="268" t="s">
        <v>210</v>
      </c>
      <c r="G17" s="269"/>
      <c r="H17" s="270"/>
      <c r="I17" s="31">
        <v>6</v>
      </c>
      <c r="J17" s="31"/>
      <c r="K17" s="25"/>
      <c r="L17" s="129">
        <v>5.9249999999999998</v>
      </c>
      <c r="M17" s="129">
        <v>7.2</v>
      </c>
      <c r="N17" s="283">
        <f t="shared" si="0"/>
        <v>255.96</v>
      </c>
      <c r="O17" s="283"/>
      <c r="P17" s="275"/>
      <c r="Q17" s="276"/>
      <c r="R17" s="277"/>
      <c r="S17" s="10"/>
      <c r="T17" s="8"/>
      <c r="U17">
        <f t="shared" si="1"/>
        <v>35.549999999999997</v>
      </c>
    </row>
    <row r="18" spans="1:22" ht="25.5" customHeight="1">
      <c r="A18" s="6"/>
      <c r="B18" s="32" t="s">
        <v>241</v>
      </c>
      <c r="C18" s="48" t="s">
        <v>80</v>
      </c>
      <c r="D18" s="49" t="s">
        <v>237</v>
      </c>
      <c r="E18" s="119" t="s">
        <v>219</v>
      </c>
      <c r="F18" s="268" t="s">
        <v>207</v>
      </c>
      <c r="G18" s="269"/>
      <c r="H18" s="270"/>
      <c r="I18" s="31">
        <v>2</v>
      </c>
      <c r="J18" s="31"/>
      <c r="K18" s="25"/>
      <c r="L18" s="129">
        <v>5.55</v>
      </c>
      <c r="M18" s="129">
        <v>7.2</v>
      </c>
      <c r="N18" s="283">
        <f t="shared" si="0"/>
        <v>79.92</v>
      </c>
      <c r="O18" s="283"/>
      <c r="P18" s="275"/>
      <c r="Q18" s="276"/>
      <c r="R18" s="277"/>
      <c r="S18" s="10"/>
      <c r="T18" s="8"/>
      <c r="U18">
        <f t="shared" si="1"/>
        <v>11.1</v>
      </c>
    </row>
    <row r="19" spans="1:22" ht="25.5" customHeight="1">
      <c r="A19" s="6"/>
      <c r="B19" s="32" t="s">
        <v>242</v>
      </c>
      <c r="C19" s="48" t="s">
        <v>80</v>
      </c>
      <c r="D19" s="49" t="s">
        <v>237</v>
      </c>
      <c r="E19" s="119" t="s">
        <v>219</v>
      </c>
      <c r="F19" s="268" t="s">
        <v>209</v>
      </c>
      <c r="G19" s="269"/>
      <c r="H19" s="270"/>
      <c r="I19" s="31">
        <v>6</v>
      </c>
      <c r="J19" s="31"/>
      <c r="K19" s="25"/>
      <c r="L19" s="129">
        <v>5.3</v>
      </c>
      <c r="M19" s="129">
        <v>7.2</v>
      </c>
      <c r="N19" s="283">
        <f t="shared" si="0"/>
        <v>228.96</v>
      </c>
      <c r="O19" s="283"/>
      <c r="P19" s="275"/>
      <c r="Q19" s="276"/>
      <c r="R19" s="277"/>
      <c r="S19" s="10"/>
      <c r="T19" s="8"/>
      <c r="U19">
        <f t="shared" si="1"/>
        <v>31.799999999999997</v>
      </c>
    </row>
    <row r="20" spans="1:22" ht="25.5" customHeight="1">
      <c r="A20" s="6"/>
      <c r="B20" s="32" t="s">
        <v>243</v>
      </c>
      <c r="C20" s="48" t="s">
        <v>80</v>
      </c>
      <c r="D20" s="49" t="s">
        <v>237</v>
      </c>
      <c r="E20" s="119" t="s">
        <v>223</v>
      </c>
      <c r="F20" s="268" t="s">
        <v>209</v>
      </c>
      <c r="G20" s="269"/>
      <c r="H20" s="270"/>
      <c r="I20" s="31">
        <v>1</v>
      </c>
      <c r="J20" s="31"/>
      <c r="K20" s="25"/>
      <c r="L20" s="129">
        <v>5.3</v>
      </c>
      <c r="M20" s="129">
        <v>7.2</v>
      </c>
      <c r="N20" s="283">
        <f t="shared" si="0"/>
        <v>38.159999999999997</v>
      </c>
      <c r="O20" s="283"/>
      <c r="P20" s="275"/>
      <c r="Q20" s="276"/>
      <c r="R20" s="277"/>
      <c r="S20" s="10"/>
      <c r="T20" s="8"/>
      <c r="U20">
        <f t="shared" si="1"/>
        <v>5.3</v>
      </c>
      <c r="V20" s="24"/>
    </row>
    <row r="21" spans="1:22" ht="35.25" customHeight="1">
      <c r="A21" s="6"/>
      <c r="B21" s="32" t="s">
        <v>244</v>
      </c>
      <c r="C21" s="48" t="s">
        <v>80</v>
      </c>
      <c r="D21" s="49" t="s">
        <v>237</v>
      </c>
      <c r="E21" s="119" t="s">
        <v>208</v>
      </c>
      <c r="F21" s="272" t="s">
        <v>225</v>
      </c>
      <c r="G21" s="273"/>
      <c r="H21" s="274"/>
      <c r="I21" s="31">
        <f>+SUM(I11:I20)*2</f>
        <v>76</v>
      </c>
      <c r="J21" s="31">
        <v>0.2</v>
      </c>
      <c r="K21" s="25">
        <v>0.2</v>
      </c>
      <c r="L21" s="129">
        <v>8.0000000000000002E-3</v>
      </c>
      <c r="M21" s="115">
        <v>7850</v>
      </c>
      <c r="N21" s="283">
        <f t="shared" si="0"/>
        <v>190.91</v>
      </c>
      <c r="O21" s="283"/>
      <c r="P21" s="275"/>
      <c r="Q21" s="276"/>
      <c r="R21" s="277"/>
      <c r="S21" s="10"/>
      <c r="T21" s="8"/>
    </row>
    <row r="22" spans="1:22" ht="35.25" customHeight="1">
      <c r="A22" s="6"/>
      <c r="B22" s="32" t="s">
        <v>245</v>
      </c>
      <c r="C22" s="48" t="s">
        <v>80</v>
      </c>
      <c r="D22" s="49" t="s">
        <v>237</v>
      </c>
      <c r="E22" s="119" t="s">
        <v>208</v>
      </c>
      <c r="F22" s="272" t="s">
        <v>226</v>
      </c>
      <c r="G22" s="273"/>
      <c r="H22" s="274"/>
      <c r="I22" s="31">
        <v>160</v>
      </c>
      <c r="J22" s="31">
        <v>0.05</v>
      </c>
      <c r="K22" s="25"/>
      <c r="L22" s="129"/>
      <c r="M22" s="129">
        <v>3.5</v>
      </c>
      <c r="N22" s="283">
        <f t="shared" si="0"/>
        <v>28</v>
      </c>
      <c r="O22" s="283"/>
      <c r="P22" s="275"/>
      <c r="Q22" s="276"/>
      <c r="R22" s="277"/>
      <c r="S22" s="10"/>
      <c r="T22" s="8"/>
    </row>
    <row r="23" spans="1:22" ht="35.25" customHeight="1">
      <c r="A23" s="6"/>
      <c r="B23" s="32" t="s">
        <v>246</v>
      </c>
      <c r="C23" s="48" t="s">
        <v>80</v>
      </c>
      <c r="D23" s="49" t="s">
        <v>237</v>
      </c>
      <c r="E23" s="119" t="s">
        <v>208</v>
      </c>
      <c r="F23" s="272" t="s">
        <v>227</v>
      </c>
      <c r="G23" s="273"/>
      <c r="H23" s="274"/>
      <c r="I23" s="31">
        <v>61</v>
      </c>
      <c r="J23" s="31">
        <v>0.05</v>
      </c>
      <c r="K23" s="25"/>
      <c r="L23" s="129"/>
      <c r="M23" s="129">
        <v>3.5</v>
      </c>
      <c r="N23" s="283">
        <f t="shared" si="0"/>
        <v>10.68</v>
      </c>
      <c r="O23" s="283"/>
      <c r="P23" s="275"/>
      <c r="Q23" s="276"/>
      <c r="R23" s="277"/>
      <c r="S23" s="10"/>
      <c r="T23" s="8"/>
    </row>
    <row r="24" spans="1:22" ht="35.25" customHeight="1">
      <c r="A24" s="6"/>
      <c r="B24" s="32" t="s">
        <v>247</v>
      </c>
      <c r="C24" s="48" t="s">
        <v>80</v>
      </c>
      <c r="D24" s="49" t="s">
        <v>237</v>
      </c>
      <c r="E24" s="119" t="s">
        <v>212</v>
      </c>
      <c r="F24" s="272" t="s">
        <v>228</v>
      </c>
      <c r="G24" s="273"/>
      <c r="H24" s="274"/>
      <c r="I24" s="31">
        <v>61</v>
      </c>
      <c r="J24" s="31">
        <v>0.04</v>
      </c>
      <c r="K24" s="25"/>
      <c r="L24" s="129"/>
      <c r="M24" s="129">
        <v>3.5</v>
      </c>
      <c r="N24" s="283">
        <f t="shared" si="0"/>
        <v>8.5399999999999991</v>
      </c>
      <c r="O24" s="283"/>
      <c r="P24" s="275"/>
      <c r="Q24" s="276"/>
      <c r="R24" s="277"/>
      <c r="S24" s="10"/>
      <c r="T24" s="8"/>
    </row>
    <row r="25" spans="1:22" ht="35.25" customHeight="1">
      <c r="A25" s="6"/>
      <c r="B25" s="32" t="s">
        <v>248</v>
      </c>
      <c r="C25" s="48" t="s">
        <v>80</v>
      </c>
      <c r="D25" s="49" t="s">
        <v>237</v>
      </c>
      <c r="E25" s="119" t="s">
        <v>208</v>
      </c>
      <c r="F25" s="272" t="s">
        <v>229</v>
      </c>
      <c r="G25" s="273"/>
      <c r="H25" s="274"/>
      <c r="I25" s="31">
        <v>280</v>
      </c>
      <c r="J25" s="31">
        <v>0.9</v>
      </c>
      <c r="K25" s="25"/>
      <c r="L25" s="129"/>
      <c r="M25" s="129">
        <v>0.88800000000000001</v>
      </c>
      <c r="N25" s="283">
        <f t="shared" si="0"/>
        <v>223.78</v>
      </c>
      <c r="O25" s="283"/>
      <c r="P25" s="275"/>
      <c r="Q25" s="276"/>
      <c r="R25" s="277"/>
      <c r="S25" s="10"/>
      <c r="T25" s="8"/>
    </row>
    <row r="26" spans="1:22" ht="35.25" customHeight="1">
      <c r="A26" s="6"/>
      <c r="B26" s="32" t="s">
        <v>249</v>
      </c>
      <c r="C26" s="48" t="s">
        <v>80</v>
      </c>
      <c r="D26" s="49" t="s">
        <v>237</v>
      </c>
      <c r="E26" s="119" t="s">
        <v>208</v>
      </c>
      <c r="F26" s="272" t="s">
        <v>230</v>
      </c>
      <c r="G26" s="273"/>
      <c r="H26" s="274"/>
      <c r="I26" s="31">
        <v>2</v>
      </c>
      <c r="J26" s="31">
        <v>0.2</v>
      </c>
      <c r="K26" s="25">
        <v>0.2</v>
      </c>
      <c r="L26" s="129">
        <v>8.0000000000000002E-3</v>
      </c>
      <c r="M26" s="115">
        <v>7850</v>
      </c>
      <c r="N26" s="283">
        <f t="shared" si="0"/>
        <v>5.0199999999999996</v>
      </c>
      <c r="O26" s="283"/>
      <c r="P26" s="275"/>
      <c r="Q26" s="276"/>
      <c r="R26" s="277"/>
      <c r="S26" s="10"/>
      <c r="T26" s="8"/>
    </row>
    <row r="27" spans="1:22" ht="35.25" customHeight="1">
      <c r="A27" s="6"/>
      <c r="B27" s="32" t="s">
        <v>250</v>
      </c>
      <c r="C27" s="48" t="s">
        <v>80</v>
      </c>
      <c r="D27" s="49" t="s">
        <v>237</v>
      </c>
      <c r="E27" s="119" t="s">
        <v>214</v>
      </c>
      <c r="F27" s="272" t="s">
        <v>230</v>
      </c>
      <c r="G27" s="273"/>
      <c r="H27" s="274"/>
      <c r="I27" s="31">
        <v>8</v>
      </c>
      <c r="J27" s="31">
        <v>0.2</v>
      </c>
      <c r="K27" s="25">
        <v>0.2</v>
      </c>
      <c r="L27" s="129">
        <v>8.0000000000000002E-3</v>
      </c>
      <c r="M27" s="115">
        <v>7850</v>
      </c>
      <c r="N27" s="283">
        <f t="shared" si="0"/>
        <v>20.100000000000001</v>
      </c>
      <c r="O27" s="283"/>
      <c r="P27" s="275"/>
      <c r="Q27" s="276"/>
      <c r="R27" s="277"/>
      <c r="S27" s="10"/>
      <c r="T27" s="8"/>
    </row>
    <row r="28" spans="1:22" ht="35.25" customHeight="1">
      <c r="A28" s="6"/>
      <c r="B28" s="32" t="s">
        <v>251</v>
      </c>
      <c r="C28" s="48" t="s">
        <v>80</v>
      </c>
      <c r="D28" s="49" t="s">
        <v>237</v>
      </c>
      <c r="E28" s="119" t="s">
        <v>217</v>
      </c>
      <c r="F28" s="272" t="s">
        <v>230</v>
      </c>
      <c r="G28" s="273"/>
      <c r="H28" s="274"/>
      <c r="I28" s="31">
        <v>1</v>
      </c>
      <c r="J28" s="31">
        <v>0.2</v>
      </c>
      <c r="K28" s="25">
        <v>0.2</v>
      </c>
      <c r="L28" s="129">
        <v>8.0000000000000002E-3</v>
      </c>
      <c r="M28" s="115">
        <v>7850</v>
      </c>
      <c r="N28" s="283">
        <f t="shared" si="0"/>
        <v>2.5099999999999998</v>
      </c>
      <c r="O28" s="283"/>
      <c r="P28" s="275"/>
      <c r="Q28" s="276"/>
      <c r="R28" s="277"/>
      <c r="S28" s="10"/>
      <c r="T28" s="8"/>
    </row>
    <row r="29" spans="1:22" ht="35.25" customHeight="1">
      <c r="A29" s="6"/>
      <c r="B29" s="32" t="s">
        <v>252</v>
      </c>
      <c r="C29" s="48" t="s">
        <v>80</v>
      </c>
      <c r="D29" s="49" t="s">
        <v>237</v>
      </c>
      <c r="E29" s="119" t="s">
        <v>231</v>
      </c>
      <c r="F29" s="272" t="s">
        <v>230</v>
      </c>
      <c r="G29" s="273"/>
      <c r="H29" s="274"/>
      <c r="I29" s="31">
        <v>6</v>
      </c>
      <c r="J29" s="31">
        <v>0.2</v>
      </c>
      <c r="K29" s="25">
        <v>0.2</v>
      </c>
      <c r="L29" s="129">
        <v>8.0000000000000002E-3</v>
      </c>
      <c r="M29" s="115">
        <v>7850</v>
      </c>
      <c r="N29" s="283">
        <f t="shared" si="0"/>
        <v>15.07</v>
      </c>
      <c r="O29" s="283"/>
      <c r="P29" s="275"/>
      <c r="Q29" s="276"/>
      <c r="R29" s="277"/>
      <c r="S29" s="10"/>
      <c r="T29" s="8"/>
    </row>
    <row r="30" spans="1:22" ht="35.25" customHeight="1">
      <c r="A30" s="6"/>
      <c r="B30" s="32" t="s">
        <v>253</v>
      </c>
      <c r="C30" s="48" t="s">
        <v>80</v>
      </c>
      <c r="D30" s="49" t="s">
        <v>237</v>
      </c>
      <c r="E30" s="119" t="s">
        <v>233</v>
      </c>
      <c r="F30" s="272" t="s">
        <v>232</v>
      </c>
      <c r="G30" s="273"/>
      <c r="H30" s="274"/>
      <c r="I30" s="31">
        <v>17</v>
      </c>
      <c r="J30" s="31">
        <v>0.05</v>
      </c>
      <c r="K30" s="25"/>
      <c r="L30" s="129"/>
      <c r="M30" s="129">
        <v>3.5</v>
      </c>
      <c r="N30" s="283">
        <f t="shared" si="0"/>
        <v>2.98</v>
      </c>
      <c r="O30" s="283"/>
      <c r="P30" s="275"/>
      <c r="Q30" s="276"/>
      <c r="R30" s="277"/>
      <c r="S30" s="10"/>
      <c r="T30" s="8"/>
    </row>
    <row r="31" spans="1:22" ht="35.25" customHeight="1">
      <c r="A31" s="6"/>
      <c r="B31" s="32" t="s">
        <v>254</v>
      </c>
      <c r="C31" s="48" t="s">
        <v>80</v>
      </c>
      <c r="D31" s="49" t="s">
        <v>237</v>
      </c>
      <c r="E31" s="119" t="s">
        <v>233</v>
      </c>
      <c r="F31" s="272" t="s">
        <v>234</v>
      </c>
      <c r="G31" s="273"/>
      <c r="H31" s="274"/>
      <c r="I31" s="31">
        <v>17</v>
      </c>
      <c r="J31" s="31">
        <v>0.04</v>
      </c>
      <c r="K31" s="25"/>
      <c r="L31" s="129"/>
      <c r="M31" s="129">
        <v>3.5</v>
      </c>
      <c r="N31" s="283">
        <f t="shared" si="0"/>
        <v>2.38</v>
      </c>
      <c r="O31" s="283"/>
      <c r="P31" s="275"/>
      <c r="Q31" s="276"/>
      <c r="R31" s="277"/>
      <c r="S31" s="10"/>
      <c r="T31" s="8"/>
    </row>
    <row r="32" spans="1:22" ht="25.5" customHeight="1">
      <c r="A32" s="6"/>
      <c r="B32" s="32" t="s">
        <v>238</v>
      </c>
      <c r="C32" s="48" t="s">
        <v>322</v>
      </c>
      <c r="D32" s="49" t="s">
        <v>237</v>
      </c>
      <c r="E32" s="119" t="s">
        <v>405</v>
      </c>
      <c r="F32" s="268" t="s">
        <v>210</v>
      </c>
      <c r="G32" s="269"/>
      <c r="H32" s="270"/>
      <c r="I32" s="31">
        <v>1</v>
      </c>
      <c r="J32" s="31"/>
      <c r="K32" s="25"/>
      <c r="L32" s="129">
        <v>5.9249999999999998</v>
      </c>
      <c r="M32" s="129">
        <v>7.2</v>
      </c>
      <c r="N32" s="283">
        <f t="shared" si="0"/>
        <v>42.66</v>
      </c>
      <c r="O32" s="283"/>
      <c r="P32" s="275"/>
      <c r="Q32" s="276"/>
      <c r="R32" s="277"/>
      <c r="S32" s="10"/>
      <c r="T32" s="8"/>
      <c r="U32">
        <f t="shared" ref="U32:U34" si="2">+L32*I32</f>
        <v>5.9249999999999998</v>
      </c>
    </row>
    <row r="33" spans="1:22" ht="25.5" customHeight="1">
      <c r="A33" s="6"/>
      <c r="B33" s="32"/>
      <c r="C33" s="48" t="s">
        <v>322</v>
      </c>
      <c r="D33" s="49" t="s">
        <v>237</v>
      </c>
      <c r="E33" s="119" t="s">
        <v>405</v>
      </c>
      <c r="F33" s="268" t="s">
        <v>207</v>
      </c>
      <c r="G33" s="269"/>
      <c r="H33" s="270"/>
      <c r="I33" s="31">
        <v>3</v>
      </c>
      <c r="J33" s="31"/>
      <c r="K33" s="25"/>
      <c r="L33" s="129">
        <v>5.55</v>
      </c>
      <c r="M33" s="129">
        <v>7.2</v>
      </c>
      <c r="N33" s="283">
        <f t="shared" si="0"/>
        <v>119.88</v>
      </c>
      <c r="O33" s="283"/>
      <c r="P33" s="275"/>
      <c r="Q33" s="276"/>
      <c r="R33" s="277"/>
      <c r="S33" s="10"/>
      <c r="T33" s="8"/>
      <c r="U33">
        <f t="shared" si="2"/>
        <v>16.649999999999999</v>
      </c>
    </row>
    <row r="34" spans="1:22" ht="25.5" customHeight="1">
      <c r="A34" s="6"/>
      <c r="B34" s="32"/>
      <c r="C34" s="48" t="s">
        <v>322</v>
      </c>
      <c r="D34" s="49" t="s">
        <v>237</v>
      </c>
      <c r="E34" s="119" t="s">
        <v>405</v>
      </c>
      <c r="F34" s="268" t="s">
        <v>209</v>
      </c>
      <c r="G34" s="269"/>
      <c r="H34" s="270"/>
      <c r="I34" s="31">
        <v>1</v>
      </c>
      <c r="J34" s="31"/>
      <c r="K34" s="25"/>
      <c r="L34" s="129">
        <v>5.25</v>
      </c>
      <c r="M34" s="129">
        <v>7.2</v>
      </c>
      <c r="N34" s="283">
        <f t="shared" si="0"/>
        <v>37.799999999999997</v>
      </c>
      <c r="O34" s="283"/>
      <c r="P34" s="275"/>
      <c r="Q34" s="276"/>
      <c r="R34" s="277"/>
      <c r="S34" s="10"/>
      <c r="T34" s="8"/>
      <c r="U34">
        <f t="shared" si="2"/>
        <v>5.25</v>
      </c>
    </row>
    <row r="35" spans="1:22" ht="25.5" customHeight="1">
      <c r="A35" s="6"/>
      <c r="B35" s="32"/>
      <c r="C35" s="48" t="s">
        <v>322</v>
      </c>
      <c r="D35" s="49" t="s">
        <v>237</v>
      </c>
      <c r="E35" s="119" t="s">
        <v>405</v>
      </c>
      <c r="F35" s="272" t="s">
        <v>225</v>
      </c>
      <c r="G35" s="273"/>
      <c r="H35" s="274"/>
      <c r="I35" s="31">
        <f>+SUM(I32:I34)*2</f>
        <v>10</v>
      </c>
      <c r="J35" s="31">
        <v>0.2</v>
      </c>
      <c r="K35" s="25">
        <v>0.2</v>
      </c>
      <c r="L35" s="129">
        <v>0.2</v>
      </c>
      <c r="M35" s="129">
        <v>7850</v>
      </c>
      <c r="N35" s="283">
        <f t="shared" si="0"/>
        <v>628</v>
      </c>
      <c r="O35" s="283"/>
      <c r="P35" s="275"/>
      <c r="Q35" s="276"/>
      <c r="R35" s="277"/>
      <c r="S35" s="10"/>
      <c r="T35" s="8"/>
    </row>
    <row r="36" spans="1:22" ht="33.75" customHeight="1">
      <c r="A36" s="6"/>
      <c r="B36" s="32"/>
      <c r="C36" s="48" t="s">
        <v>322</v>
      </c>
      <c r="D36" s="49" t="s">
        <v>237</v>
      </c>
      <c r="E36" s="119" t="s">
        <v>405</v>
      </c>
      <c r="F36" s="272" t="s">
        <v>226</v>
      </c>
      <c r="G36" s="273"/>
      <c r="H36" s="274"/>
      <c r="I36" s="31">
        <f>+I35*2</f>
        <v>20</v>
      </c>
      <c r="J36" s="31">
        <v>0.05</v>
      </c>
      <c r="K36" s="25"/>
      <c r="L36" s="129"/>
      <c r="M36" s="129">
        <v>3.5</v>
      </c>
      <c r="N36" s="283">
        <f t="shared" si="0"/>
        <v>3.5</v>
      </c>
      <c r="O36" s="283"/>
      <c r="P36" s="275"/>
      <c r="Q36" s="276"/>
      <c r="R36" s="277"/>
      <c r="S36" s="10"/>
      <c r="T36" s="8"/>
    </row>
    <row r="37" spans="1:22" ht="33" customHeight="1">
      <c r="A37" s="6"/>
      <c r="B37" s="32"/>
      <c r="C37" s="48" t="s">
        <v>322</v>
      </c>
      <c r="D37" s="49" t="s">
        <v>237</v>
      </c>
      <c r="E37" s="119" t="s">
        <v>405</v>
      </c>
      <c r="F37" s="272" t="s">
        <v>227</v>
      </c>
      <c r="G37" s="273"/>
      <c r="H37" s="274"/>
      <c r="I37" s="31">
        <v>8</v>
      </c>
      <c r="J37" s="31">
        <v>0.05</v>
      </c>
      <c r="K37" s="25"/>
      <c r="L37" s="129"/>
      <c r="M37" s="129">
        <v>3.5</v>
      </c>
      <c r="N37" s="283">
        <f t="shared" si="0"/>
        <v>1.4</v>
      </c>
      <c r="O37" s="283"/>
      <c r="P37" s="275"/>
      <c r="Q37" s="276"/>
      <c r="R37" s="277"/>
      <c r="S37" s="10"/>
      <c r="T37" s="8"/>
    </row>
    <row r="38" spans="1:22" ht="33" customHeight="1">
      <c r="A38" s="6"/>
      <c r="B38" s="32"/>
      <c r="C38" s="48" t="s">
        <v>322</v>
      </c>
      <c r="D38" s="49" t="s">
        <v>237</v>
      </c>
      <c r="E38" s="119" t="s">
        <v>405</v>
      </c>
      <c r="F38" s="272" t="s">
        <v>228</v>
      </c>
      <c r="G38" s="273"/>
      <c r="H38" s="274"/>
      <c r="I38" s="31">
        <v>8</v>
      </c>
      <c r="J38" s="31">
        <v>0.05</v>
      </c>
      <c r="K38" s="25"/>
      <c r="L38" s="129"/>
      <c r="M38" s="129">
        <v>3.5</v>
      </c>
      <c r="N38" s="283">
        <f t="shared" si="0"/>
        <v>1.4</v>
      </c>
      <c r="O38" s="283"/>
      <c r="P38" s="275"/>
      <c r="Q38" s="276"/>
      <c r="R38" s="277"/>
      <c r="S38" s="10"/>
      <c r="T38" s="8"/>
    </row>
    <row r="39" spans="1:22" ht="32.25" customHeight="1">
      <c r="A39" s="6"/>
      <c r="B39" s="32"/>
      <c r="C39" s="48" t="s">
        <v>322</v>
      </c>
      <c r="D39" s="49" t="s">
        <v>237</v>
      </c>
      <c r="E39" s="119" t="s">
        <v>405</v>
      </c>
      <c r="F39" s="272" t="s">
        <v>229</v>
      </c>
      <c r="G39" s="273"/>
      <c r="H39" s="274"/>
      <c r="I39" s="31">
        <v>8</v>
      </c>
      <c r="J39" s="31">
        <v>0.9</v>
      </c>
      <c r="K39" s="25"/>
      <c r="L39" s="129"/>
      <c r="M39" s="129">
        <v>0.88800000000000001</v>
      </c>
      <c r="N39" s="283">
        <f t="shared" si="0"/>
        <v>6.39</v>
      </c>
      <c r="O39" s="283"/>
      <c r="P39" s="275"/>
      <c r="Q39" s="276"/>
      <c r="R39" s="277"/>
      <c r="S39" s="10"/>
      <c r="T39" s="8"/>
    </row>
    <row r="40" spans="1:22" ht="34.5" customHeight="1">
      <c r="A40" s="6"/>
      <c r="B40" s="32"/>
      <c r="C40" s="48" t="s">
        <v>322</v>
      </c>
      <c r="D40" s="49" t="s">
        <v>237</v>
      </c>
      <c r="E40" s="119" t="s">
        <v>405</v>
      </c>
      <c r="F40" s="272" t="s">
        <v>230</v>
      </c>
      <c r="G40" s="273"/>
      <c r="H40" s="274"/>
      <c r="I40" s="31">
        <v>5</v>
      </c>
      <c r="J40" s="31">
        <v>0.2</v>
      </c>
      <c r="K40" s="25">
        <v>0.2</v>
      </c>
      <c r="L40" s="129">
        <v>8.0000000000000002E-3</v>
      </c>
      <c r="M40" s="115">
        <v>7850</v>
      </c>
      <c r="N40" s="283">
        <f t="shared" si="0"/>
        <v>12.56</v>
      </c>
      <c r="O40" s="283"/>
      <c r="P40" s="275"/>
      <c r="Q40" s="276"/>
      <c r="R40" s="277"/>
      <c r="S40" s="10"/>
      <c r="T40" s="8"/>
    </row>
    <row r="41" spans="1:22" ht="35.25" customHeight="1">
      <c r="A41" s="6"/>
      <c r="B41" s="32"/>
      <c r="C41" s="48" t="s">
        <v>322</v>
      </c>
      <c r="D41" s="49" t="s">
        <v>237</v>
      </c>
      <c r="E41" s="119" t="s">
        <v>405</v>
      </c>
      <c r="F41" s="272" t="s">
        <v>232</v>
      </c>
      <c r="G41" s="273"/>
      <c r="H41" s="274"/>
      <c r="I41" s="31">
        <f>+I40</f>
        <v>5</v>
      </c>
      <c r="J41" s="31">
        <v>0.05</v>
      </c>
      <c r="K41" s="25"/>
      <c r="L41" s="129"/>
      <c r="M41" s="129">
        <v>3.5</v>
      </c>
      <c r="N41" s="283">
        <f t="shared" si="0"/>
        <v>0.88</v>
      </c>
      <c r="O41" s="283"/>
      <c r="P41" s="275"/>
      <c r="Q41" s="276"/>
      <c r="R41" s="277"/>
      <c r="S41" s="10"/>
      <c r="T41" s="8"/>
    </row>
    <row r="42" spans="1:22" ht="35.25" customHeight="1">
      <c r="A42" s="6"/>
      <c r="B42" s="32"/>
      <c r="C42" s="48" t="s">
        <v>322</v>
      </c>
      <c r="D42" s="49" t="s">
        <v>237</v>
      </c>
      <c r="E42" s="119" t="s">
        <v>405</v>
      </c>
      <c r="F42" s="272" t="s">
        <v>234</v>
      </c>
      <c r="G42" s="273"/>
      <c r="H42" s="274"/>
      <c r="I42" s="31">
        <f>+I41</f>
        <v>5</v>
      </c>
      <c r="J42" s="31">
        <v>0.05</v>
      </c>
      <c r="K42" s="25"/>
      <c r="L42" s="129"/>
      <c r="M42" s="129">
        <v>3.5</v>
      </c>
      <c r="N42" s="283">
        <f t="shared" si="0"/>
        <v>0.88</v>
      </c>
      <c r="O42" s="283"/>
      <c r="P42" s="275"/>
      <c r="Q42" s="276"/>
      <c r="R42" s="277"/>
      <c r="S42" s="10"/>
      <c r="T42" s="8"/>
    </row>
    <row r="43" spans="1:22" ht="25.5" customHeight="1">
      <c r="A43" s="6"/>
      <c r="B43" s="32" t="s">
        <v>255</v>
      </c>
      <c r="C43" s="48" t="s">
        <v>80</v>
      </c>
      <c r="D43" s="49" t="s">
        <v>237</v>
      </c>
      <c r="E43" s="119" t="s">
        <v>208</v>
      </c>
      <c r="F43" s="268" t="s">
        <v>235</v>
      </c>
      <c r="G43" s="269"/>
      <c r="H43" s="270"/>
      <c r="I43" s="31">
        <v>1</v>
      </c>
      <c r="J43" s="31">
        <v>22.25</v>
      </c>
      <c r="K43" s="25"/>
      <c r="L43" s="129"/>
      <c r="M43" s="129">
        <v>3.63</v>
      </c>
      <c r="N43" s="283">
        <f t="shared" si="0"/>
        <v>80.77</v>
      </c>
      <c r="O43" s="283"/>
      <c r="P43" s="275"/>
      <c r="Q43" s="276"/>
      <c r="R43" s="277"/>
      <c r="S43" s="10"/>
      <c r="T43" s="8"/>
      <c r="V43">
        <f>+J43*I43</f>
        <v>22.25</v>
      </c>
    </row>
    <row r="44" spans="1:22" ht="25.5" customHeight="1">
      <c r="A44" s="6"/>
      <c r="B44" s="32" t="s">
        <v>256</v>
      </c>
      <c r="C44" s="48" t="s">
        <v>80</v>
      </c>
      <c r="D44" s="49" t="s">
        <v>237</v>
      </c>
      <c r="E44" s="119" t="s">
        <v>212</v>
      </c>
      <c r="F44" s="268" t="s">
        <v>235</v>
      </c>
      <c r="G44" s="269"/>
      <c r="H44" s="270"/>
      <c r="I44" s="31">
        <v>1</v>
      </c>
      <c r="J44" s="31">
        <v>2.95</v>
      </c>
      <c r="K44" s="25"/>
      <c r="L44" s="129"/>
      <c r="M44" s="129">
        <v>3.63</v>
      </c>
      <c r="N44" s="283">
        <f t="shared" si="0"/>
        <v>10.71</v>
      </c>
      <c r="O44" s="283"/>
      <c r="P44" s="275"/>
      <c r="Q44" s="276"/>
      <c r="R44" s="277"/>
      <c r="S44" s="10"/>
      <c r="T44" s="8"/>
      <c r="V44">
        <f t="shared" ref="V44:V50" si="3">+J44*I44</f>
        <v>2.95</v>
      </c>
    </row>
    <row r="45" spans="1:22" ht="25.5" customHeight="1">
      <c r="A45" s="6"/>
      <c r="B45" s="32" t="s">
        <v>257</v>
      </c>
      <c r="C45" s="48" t="s">
        <v>80</v>
      </c>
      <c r="D45" s="49" t="s">
        <v>237</v>
      </c>
      <c r="E45" s="119" t="s">
        <v>214</v>
      </c>
      <c r="F45" s="268" t="s">
        <v>235</v>
      </c>
      <c r="G45" s="269"/>
      <c r="H45" s="270"/>
      <c r="I45" s="31">
        <v>1</v>
      </c>
      <c r="J45" s="31">
        <v>47.48</v>
      </c>
      <c r="K45" s="25"/>
      <c r="L45" s="129"/>
      <c r="M45" s="129">
        <v>3.63</v>
      </c>
      <c r="N45" s="283">
        <f t="shared" si="0"/>
        <v>172.35</v>
      </c>
      <c r="O45" s="283"/>
      <c r="P45" s="275"/>
      <c r="Q45" s="276"/>
      <c r="R45" s="277"/>
      <c r="S45" s="10"/>
      <c r="T45" s="8"/>
      <c r="V45">
        <f t="shared" si="3"/>
        <v>47.48</v>
      </c>
    </row>
    <row r="46" spans="1:22" ht="25.5" customHeight="1">
      <c r="A46" s="6"/>
      <c r="B46" s="32" t="s">
        <v>258</v>
      </c>
      <c r="C46" s="48" t="s">
        <v>80</v>
      </c>
      <c r="D46" s="49" t="s">
        <v>237</v>
      </c>
      <c r="E46" s="119" t="s">
        <v>236</v>
      </c>
      <c r="F46" s="268" t="s">
        <v>235</v>
      </c>
      <c r="G46" s="269"/>
      <c r="H46" s="270"/>
      <c r="I46" s="31">
        <v>1</v>
      </c>
      <c r="J46" s="31">
        <v>44.65</v>
      </c>
      <c r="K46" s="25"/>
      <c r="L46" s="129"/>
      <c r="M46" s="129">
        <v>3.63</v>
      </c>
      <c r="N46" s="283">
        <f t="shared" si="0"/>
        <v>162.08000000000001</v>
      </c>
      <c r="O46" s="283"/>
      <c r="P46" s="275"/>
      <c r="Q46" s="276"/>
      <c r="R46" s="277"/>
      <c r="S46" s="10"/>
      <c r="T46" s="8"/>
      <c r="V46">
        <f t="shared" si="3"/>
        <v>44.65</v>
      </c>
    </row>
    <row r="47" spans="1:22" ht="25.5" customHeight="1">
      <c r="A47" s="6"/>
      <c r="B47" s="32"/>
      <c r="C47" s="48" t="s">
        <v>322</v>
      </c>
      <c r="D47" s="49" t="s">
        <v>237</v>
      </c>
      <c r="E47" s="119" t="s">
        <v>405</v>
      </c>
      <c r="F47" s="268" t="s">
        <v>235</v>
      </c>
      <c r="G47" s="269"/>
      <c r="H47" s="270"/>
      <c r="I47" s="31">
        <v>1</v>
      </c>
      <c r="J47" s="31">
        <f>3.48+3+4+3.83+3.48+3+3.98+3</f>
        <v>27.77</v>
      </c>
      <c r="K47" s="25"/>
      <c r="L47" s="129"/>
      <c r="M47" s="129">
        <v>3.63</v>
      </c>
      <c r="N47" s="283">
        <f t="shared" si="0"/>
        <v>100.81</v>
      </c>
      <c r="O47" s="283"/>
      <c r="P47" s="275"/>
      <c r="Q47" s="276"/>
      <c r="R47" s="277"/>
      <c r="S47" s="10"/>
      <c r="T47" s="8"/>
      <c r="V47">
        <f t="shared" si="3"/>
        <v>27.77</v>
      </c>
    </row>
    <row r="48" spans="1:22" ht="25.5" customHeight="1">
      <c r="A48" s="6"/>
      <c r="B48" s="32" t="s">
        <v>345</v>
      </c>
      <c r="C48" s="48" t="s">
        <v>80</v>
      </c>
      <c r="D48" s="49" t="s">
        <v>237</v>
      </c>
      <c r="E48" s="119" t="s">
        <v>287</v>
      </c>
      <c r="F48" s="272" t="s">
        <v>282</v>
      </c>
      <c r="G48" s="273"/>
      <c r="H48" s="274"/>
      <c r="I48" s="31">
        <v>15</v>
      </c>
      <c r="J48" s="31">
        <v>2.4900000000000002</v>
      </c>
      <c r="K48" s="25"/>
      <c r="L48" s="129"/>
      <c r="M48" s="129">
        <v>3.63</v>
      </c>
      <c r="N48" s="283">
        <f t="shared" si="0"/>
        <v>135.58000000000001</v>
      </c>
      <c r="O48" s="283"/>
      <c r="P48" s="275"/>
      <c r="Q48" s="276"/>
      <c r="R48" s="277"/>
      <c r="S48" s="10"/>
      <c r="T48" s="8"/>
      <c r="V48">
        <f t="shared" si="3"/>
        <v>37.35</v>
      </c>
    </row>
    <row r="49" spans="1:22" ht="25.5" customHeight="1">
      <c r="A49" s="6"/>
      <c r="B49" s="32" t="s">
        <v>259</v>
      </c>
      <c r="C49" s="48" t="s">
        <v>80</v>
      </c>
      <c r="D49" s="49" t="s">
        <v>237</v>
      </c>
      <c r="E49" s="119" t="s">
        <v>287</v>
      </c>
      <c r="F49" s="272" t="s">
        <v>282</v>
      </c>
      <c r="G49" s="273"/>
      <c r="H49" s="274"/>
      <c r="I49" s="31">
        <v>4</v>
      </c>
      <c r="J49" s="31">
        <v>2.34</v>
      </c>
      <c r="K49" s="25"/>
      <c r="L49" s="129"/>
      <c r="M49" s="129">
        <v>3.63</v>
      </c>
      <c r="N49" s="283">
        <f t="shared" si="0"/>
        <v>33.979999999999997</v>
      </c>
      <c r="O49" s="283"/>
      <c r="P49" s="275"/>
      <c r="Q49" s="276"/>
      <c r="R49" s="277"/>
      <c r="S49" s="10"/>
      <c r="T49" s="8"/>
      <c r="V49">
        <f t="shared" si="3"/>
        <v>9.36</v>
      </c>
    </row>
    <row r="50" spans="1:22" ht="25.5" customHeight="1">
      <c r="A50" s="6"/>
      <c r="B50" s="32" t="s">
        <v>278</v>
      </c>
      <c r="C50" s="48" t="s">
        <v>80</v>
      </c>
      <c r="D50" s="49" t="s">
        <v>237</v>
      </c>
      <c r="E50" s="119" t="s">
        <v>287</v>
      </c>
      <c r="F50" s="272" t="s">
        <v>282</v>
      </c>
      <c r="G50" s="273"/>
      <c r="H50" s="274"/>
      <c r="I50" s="31">
        <v>3</v>
      </c>
      <c r="J50" s="31">
        <v>5.5</v>
      </c>
      <c r="K50" s="25"/>
      <c r="L50" s="129"/>
      <c r="M50" s="129">
        <v>3.63</v>
      </c>
      <c r="N50" s="283">
        <f t="shared" si="0"/>
        <v>59.9</v>
      </c>
      <c r="O50" s="283"/>
      <c r="P50" s="275"/>
      <c r="Q50" s="276"/>
      <c r="R50" s="277"/>
      <c r="S50" s="10"/>
      <c r="T50" s="8"/>
      <c r="V50">
        <f t="shared" si="3"/>
        <v>16.5</v>
      </c>
    </row>
    <row r="51" spans="1:22" ht="25.5" customHeight="1">
      <c r="A51" s="6"/>
      <c r="B51" s="32" t="s">
        <v>346</v>
      </c>
      <c r="C51" s="48" t="s">
        <v>80</v>
      </c>
      <c r="D51" s="49" t="s">
        <v>237</v>
      </c>
      <c r="E51" s="119" t="s">
        <v>287</v>
      </c>
      <c r="F51" s="272" t="s">
        <v>283</v>
      </c>
      <c r="G51" s="273"/>
      <c r="H51" s="274"/>
      <c r="I51" s="31">
        <v>17</v>
      </c>
      <c r="J51" s="31"/>
      <c r="K51" s="25"/>
      <c r="L51" s="129">
        <v>0.4</v>
      </c>
      <c r="M51" s="129">
        <v>3.63</v>
      </c>
      <c r="N51" s="283">
        <f t="shared" si="0"/>
        <v>24.68</v>
      </c>
      <c r="O51" s="283"/>
      <c r="P51" s="275"/>
      <c r="Q51" s="276"/>
      <c r="R51" s="277"/>
      <c r="S51" s="10"/>
      <c r="T51" s="8"/>
      <c r="V51">
        <f>+L51*I51</f>
        <v>6.8000000000000007</v>
      </c>
    </row>
    <row r="52" spans="1:22" ht="25.5" customHeight="1">
      <c r="A52" s="6"/>
      <c r="B52" s="32" t="s">
        <v>347</v>
      </c>
      <c r="C52" s="48" t="s">
        <v>80</v>
      </c>
      <c r="D52" s="49" t="s">
        <v>237</v>
      </c>
      <c r="E52" s="119" t="s">
        <v>287</v>
      </c>
      <c r="F52" s="272" t="s">
        <v>284</v>
      </c>
      <c r="G52" s="273"/>
      <c r="H52" s="274"/>
      <c r="I52" s="31">
        <v>2</v>
      </c>
      <c r="J52" s="31"/>
      <c r="K52" s="25"/>
      <c r="L52" s="129">
        <v>0.23</v>
      </c>
      <c r="M52" s="129">
        <v>3.63</v>
      </c>
      <c r="N52" s="283">
        <f t="shared" si="0"/>
        <v>1.67</v>
      </c>
      <c r="O52" s="283"/>
      <c r="P52" s="275"/>
      <c r="Q52" s="276"/>
      <c r="R52" s="277"/>
      <c r="S52" s="10"/>
      <c r="T52" s="8"/>
      <c r="V52">
        <f>+L52*I52</f>
        <v>0.46</v>
      </c>
    </row>
    <row r="53" spans="1:22" ht="25.5" customHeight="1">
      <c r="A53" s="6"/>
      <c r="B53" s="32" t="s">
        <v>348</v>
      </c>
      <c r="C53" s="48" t="s">
        <v>80</v>
      </c>
      <c r="D53" s="49" t="s">
        <v>237</v>
      </c>
      <c r="E53" s="119" t="s">
        <v>287</v>
      </c>
      <c r="F53" s="272" t="s">
        <v>285</v>
      </c>
      <c r="G53" s="273"/>
      <c r="H53" s="274"/>
      <c r="I53" s="31">
        <v>30</v>
      </c>
      <c r="J53" s="31">
        <v>0.15</v>
      </c>
      <c r="K53" s="25">
        <v>0.15</v>
      </c>
      <c r="L53" s="129">
        <v>8.0000000000000002E-3</v>
      </c>
      <c r="M53" s="115">
        <v>7850</v>
      </c>
      <c r="N53" s="283">
        <f t="shared" si="0"/>
        <v>42.39</v>
      </c>
      <c r="O53" s="283"/>
      <c r="P53" s="275"/>
      <c r="Q53" s="276"/>
      <c r="R53" s="277"/>
      <c r="S53" s="10"/>
      <c r="T53" s="8"/>
    </row>
    <row r="54" spans="1:22" ht="31.5" customHeight="1">
      <c r="A54" s="6"/>
      <c r="B54" s="32" t="s">
        <v>349</v>
      </c>
      <c r="C54" s="48" t="s">
        <v>80</v>
      </c>
      <c r="D54" s="49" t="s">
        <v>237</v>
      </c>
      <c r="E54" s="119" t="s">
        <v>287</v>
      </c>
      <c r="F54" s="272" t="s">
        <v>286</v>
      </c>
      <c r="G54" s="273"/>
      <c r="H54" s="274"/>
      <c r="I54" s="31">
        <v>4</v>
      </c>
      <c r="J54" s="31">
        <v>0.05</v>
      </c>
      <c r="K54" s="25"/>
      <c r="L54" s="129"/>
      <c r="M54" s="129">
        <v>3.5</v>
      </c>
      <c r="N54" s="283">
        <f t="shared" si="0"/>
        <v>0.7</v>
      </c>
      <c r="O54" s="283"/>
      <c r="P54" s="275"/>
      <c r="Q54" s="276"/>
      <c r="R54" s="277"/>
      <c r="S54" s="10"/>
      <c r="T54" s="8"/>
    </row>
    <row r="55" spans="1:22" ht="25.5" customHeight="1">
      <c r="A55" s="6"/>
      <c r="B55" s="32" t="s">
        <v>350</v>
      </c>
      <c r="C55" s="48" t="s">
        <v>80</v>
      </c>
      <c r="D55" s="49" t="s">
        <v>237</v>
      </c>
      <c r="E55" s="119" t="s">
        <v>287</v>
      </c>
      <c r="F55" s="272" t="s">
        <v>288</v>
      </c>
      <c r="G55" s="273"/>
      <c r="H55" s="274"/>
      <c r="I55" s="31">
        <v>13</v>
      </c>
      <c r="J55" s="31">
        <v>5.8</v>
      </c>
      <c r="K55" s="25"/>
      <c r="L55" s="129"/>
      <c r="M55" s="129">
        <v>0.88800000000000001</v>
      </c>
      <c r="N55" s="283">
        <f t="shared" si="0"/>
        <v>66.959999999999994</v>
      </c>
      <c r="O55" s="283"/>
      <c r="P55" s="275"/>
      <c r="Q55" s="276"/>
      <c r="R55" s="277"/>
      <c r="S55" s="10"/>
      <c r="T55" s="8"/>
    </row>
    <row r="56" spans="1:22" ht="21.75" customHeight="1">
      <c r="A56" s="6"/>
      <c r="B56" s="32" t="s">
        <v>351</v>
      </c>
      <c r="C56" s="48" t="s">
        <v>80</v>
      </c>
      <c r="D56" s="49" t="s">
        <v>402</v>
      </c>
      <c r="E56" s="124" t="s">
        <v>403</v>
      </c>
      <c r="F56" s="370" t="s">
        <v>400</v>
      </c>
      <c r="G56" s="371"/>
      <c r="H56" s="372"/>
      <c r="I56" s="31">
        <v>4</v>
      </c>
      <c r="J56" s="31"/>
      <c r="K56" s="25"/>
      <c r="L56" s="129">
        <v>2.2000000000000002</v>
      </c>
      <c r="M56" s="129">
        <v>7.2</v>
      </c>
      <c r="N56" s="283">
        <f t="shared" si="0"/>
        <v>63.36</v>
      </c>
      <c r="O56" s="283"/>
      <c r="P56" s="275"/>
      <c r="Q56" s="276"/>
      <c r="R56" s="277"/>
      <c r="S56" s="10"/>
      <c r="T56" s="8"/>
    </row>
    <row r="57" spans="1:22" ht="21.75" customHeight="1">
      <c r="A57" s="6"/>
      <c r="B57" s="32" t="s">
        <v>351</v>
      </c>
      <c r="C57" s="368" t="s">
        <v>398</v>
      </c>
      <c r="D57" s="369"/>
      <c r="E57" s="124" t="s">
        <v>403</v>
      </c>
      <c r="F57" s="272" t="s">
        <v>401</v>
      </c>
      <c r="G57" s="273"/>
      <c r="H57" s="274"/>
      <c r="I57" s="31"/>
      <c r="J57" s="31"/>
      <c r="K57" s="25"/>
      <c r="L57" s="129"/>
      <c r="M57" s="129"/>
      <c r="N57" s="283">
        <v>230</v>
      </c>
      <c r="O57" s="283"/>
      <c r="P57" s="275"/>
      <c r="Q57" s="276"/>
      <c r="R57" s="277"/>
      <c r="S57" s="10"/>
      <c r="T57" s="8"/>
    </row>
    <row r="58" spans="1:22" ht="21.75" customHeight="1">
      <c r="A58" s="6"/>
      <c r="B58" s="32" t="s">
        <v>352</v>
      </c>
      <c r="C58" s="48" t="s">
        <v>322</v>
      </c>
      <c r="D58" s="49" t="s">
        <v>402</v>
      </c>
      <c r="E58" s="119" t="s">
        <v>323</v>
      </c>
      <c r="F58" s="268" t="s">
        <v>210</v>
      </c>
      <c r="G58" s="269"/>
      <c r="H58" s="270"/>
      <c r="I58" s="31">
        <f>16+2</f>
        <v>18</v>
      </c>
      <c r="J58" s="31"/>
      <c r="K58" s="25"/>
      <c r="L58" s="129">
        <v>5.9249999999999998</v>
      </c>
      <c r="M58" s="129">
        <v>7.2</v>
      </c>
      <c r="N58" s="283">
        <f t="shared" ref="N58:N82" si="4">IF(AND(I58=0,J58=0,K58=0,L58=0,M58=0),0,ROUND(IF(I58=0,1,I58)*IF(J58=0,1,J58)*IF(K58=0,1,K58)*IF(L58=0,1,L58)*IF(M58=0,1,M58),2))</f>
        <v>767.88</v>
      </c>
      <c r="O58" s="283"/>
      <c r="P58" s="275"/>
      <c r="Q58" s="276"/>
      <c r="R58" s="277"/>
      <c r="S58" s="10"/>
      <c r="T58" s="8"/>
      <c r="U58">
        <f t="shared" ref="U58:U60" si="5">+L58*I58</f>
        <v>106.64999999999999</v>
      </c>
    </row>
    <row r="59" spans="1:22" ht="21.75" customHeight="1">
      <c r="A59" s="6"/>
      <c r="B59" s="32" t="s">
        <v>353</v>
      </c>
      <c r="C59" s="48" t="s">
        <v>322</v>
      </c>
      <c r="D59" s="49" t="s">
        <v>402</v>
      </c>
      <c r="E59" s="119" t="s">
        <v>323</v>
      </c>
      <c r="F59" s="268" t="s">
        <v>207</v>
      </c>
      <c r="G59" s="269"/>
      <c r="H59" s="270"/>
      <c r="I59" s="31">
        <v>2</v>
      </c>
      <c r="J59" s="31"/>
      <c r="K59" s="25"/>
      <c r="L59" s="129">
        <v>5.55</v>
      </c>
      <c r="M59" s="129">
        <v>7.2</v>
      </c>
      <c r="N59" s="283">
        <f t="shared" si="4"/>
        <v>79.92</v>
      </c>
      <c r="O59" s="283"/>
      <c r="P59" s="275"/>
      <c r="Q59" s="276"/>
      <c r="R59" s="277"/>
      <c r="S59" s="10"/>
      <c r="T59" s="8"/>
      <c r="U59">
        <f t="shared" si="5"/>
        <v>11.1</v>
      </c>
    </row>
    <row r="60" spans="1:22" ht="21.75" customHeight="1">
      <c r="A60" s="6"/>
      <c r="B60" s="32" t="s">
        <v>354</v>
      </c>
      <c r="C60" s="48" t="s">
        <v>322</v>
      </c>
      <c r="D60" s="49" t="s">
        <v>402</v>
      </c>
      <c r="E60" s="119" t="s">
        <v>323</v>
      </c>
      <c r="F60" s="268" t="s">
        <v>324</v>
      </c>
      <c r="G60" s="269"/>
      <c r="H60" s="270"/>
      <c r="I60" s="31">
        <v>2</v>
      </c>
      <c r="J60" s="31"/>
      <c r="K60" s="25"/>
      <c r="L60" s="129">
        <v>5.55</v>
      </c>
      <c r="M60" s="129">
        <v>7.2</v>
      </c>
      <c r="N60" s="283">
        <f t="shared" si="4"/>
        <v>79.92</v>
      </c>
      <c r="O60" s="283"/>
      <c r="P60" s="275"/>
      <c r="Q60" s="276"/>
      <c r="R60" s="277"/>
      <c r="S60" s="10"/>
      <c r="T60" s="8"/>
      <c r="U60">
        <f t="shared" si="5"/>
        <v>11.1</v>
      </c>
    </row>
    <row r="61" spans="1:22" ht="27.75" customHeight="1">
      <c r="A61" s="6"/>
      <c r="B61" s="32" t="s">
        <v>355</v>
      </c>
      <c r="C61" s="48" t="s">
        <v>322</v>
      </c>
      <c r="D61" s="49" t="s">
        <v>402</v>
      </c>
      <c r="E61" s="119" t="s">
        <v>323</v>
      </c>
      <c r="F61" s="272" t="s">
        <v>225</v>
      </c>
      <c r="G61" s="273"/>
      <c r="H61" s="274"/>
      <c r="I61" s="31">
        <f>+SUM(I58:I60)*2</f>
        <v>44</v>
      </c>
      <c r="J61" s="31">
        <v>0.2</v>
      </c>
      <c r="K61" s="25">
        <v>0.2</v>
      </c>
      <c r="L61" s="129">
        <v>8.0000000000000002E-3</v>
      </c>
      <c r="M61" s="115">
        <v>7850</v>
      </c>
      <c r="N61" s="283">
        <f t="shared" si="4"/>
        <v>110.53</v>
      </c>
      <c r="O61" s="283"/>
      <c r="P61" s="275"/>
      <c r="Q61" s="276"/>
      <c r="R61" s="277"/>
      <c r="S61" s="10"/>
      <c r="T61" s="8"/>
      <c r="U61">
        <f>+SUM(U11:U60)</f>
        <v>369.57500000000005</v>
      </c>
    </row>
    <row r="62" spans="1:22" ht="27.75" customHeight="1">
      <c r="A62" s="6"/>
      <c r="B62" s="32" t="s">
        <v>356</v>
      </c>
      <c r="C62" s="48" t="s">
        <v>322</v>
      </c>
      <c r="D62" s="49" t="s">
        <v>402</v>
      </c>
      <c r="E62" s="119" t="s">
        <v>323</v>
      </c>
      <c r="F62" s="272" t="s">
        <v>226</v>
      </c>
      <c r="G62" s="273"/>
      <c r="H62" s="274"/>
      <c r="I62" s="31">
        <f>+SUM(I58:I60)*4</f>
        <v>88</v>
      </c>
      <c r="J62" s="31">
        <v>0.05</v>
      </c>
      <c r="K62" s="25"/>
      <c r="L62" s="129"/>
      <c r="M62" s="129">
        <v>3.5</v>
      </c>
      <c r="N62" s="283">
        <f t="shared" si="4"/>
        <v>15.4</v>
      </c>
      <c r="O62" s="283"/>
      <c r="P62" s="275"/>
      <c r="Q62" s="276"/>
      <c r="R62" s="277"/>
      <c r="S62" s="10"/>
      <c r="T62" s="8"/>
      <c r="U62">
        <f>+U61/6</f>
        <v>61.595833333333339</v>
      </c>
    </row>
    <row r="63" spans="1:22" ht="27.75" customHeight="1">
      <c r="A63" s="6"/>
      <c r="B63" s="32" t="s">
        <v>357</v>
      </c>
      <c r="C63" s="48" t="s">
        <v>322</v>
      </c>
      <c r="D63" s="49" t="s">
        <v>402</v>
      </c>
      <c r="E63" s="119" t="s">
        <v>323</v>
      </c>
      <c r="F63" s="272" t="s">
        <v>227</v>
      </c>
      <c r="G63" s="273"/>
      <c r="H63" s="274"/>
      <c r="I63" s="31">
        <f>26+5</f>
        <v>31</v>
      </c>
      <c r="J63" s="31">
        <v>0.05</v>
      </c>
      <c r="K63" s="25"/>
      <c r="L63" s="129"/>
      <c r="M63" s="129">
        <v>3.5</v>
      </c>
      <c r="N63" s="283">
        <f t="shared" si="4"/>
        <v>5.43</v>
      </c>
      <c r="O63" s="283"/>
      <c r="P63" s="275"/>
      <c r="Q63" s="276"/>
      <c r="R63" s="277"/>
      <c r="S63" s="10"/>
      <c r="T63" s="8"/>
    </row>
    <row r="64" spans="1:22" ht="27.75" customHeight="1">
      <c r="A64" s="6"/>
      <c r="B64" s="32" t="s">
        <v>358</v>
      </c>
      <c r="C64" s="48" t="s">
        <v>322</v>
      </c>
      <c r="D64" s="49" t="s">
        <v>402</v>
      </c>
      <c r="E64" s="119" t="s">
        <v>323</v>
      </c>
      <c r="F64" s="272" t="s">
        <v>228</v>
      </c>
      <c r="G64" s="273"/>
      <c r="H64" s="274"/>
      <c r="I64" s="31">
        <f>26+5</f>
        <v>31</v>
      </c>
      <c r="J64" s="31">
        <v>0.04</v>
      </c>
      <c r="K64" s="25"/>
      <c r="L64" s="129"/>
      <c r="M64" s="129">
        <v>3.5</v>
      </c>
      <c r="N64" s="283">
        <f t="shared" si="4"/>
        <v>4.34</v>
      </c>
      <c r="O64" s="283"/>
      <c r="P64" s="275"/>
      <c r="Q64" s="276"/>
      <c r="R64" s="277"/>
      <c r="S64" s="10"/>
      <c r="T64" s="8"/>
    </row>
    <row r="65" spans="1:22" ht="27.75" customHeight="1">
      <c r="A65" s="6"/>
      <c r="B65" s="32" t="s">
        <v>359</v>
      </c>
      <c r="C65" s="48" t="s">
        <v>322</v>
      </c>
      <c r="D65" s="49" t="s">
        <v>402</v>
      </c>
      <c r="E65" s="119" t="s">
        <v>323</v>
      </c>
      <c r="F65" s="272" t="s">
        <v>229</v>
      </c>
      <c r="G65" s="273"/>
      <c r="H65" s="274"/>
      <c r="I65" s="31">
        <f>31*4</f>
        <v>124</v>
      </c>
      <c r="J65" s="31">
        <v>0.9</v>
      </c>
      <c r="K65" s="25"/>
      <c r="L65" s="129"/>
      <c r="M65" s="129">
        <v>0.88800000000000001</v>
      </c>
      <c r="N65" s="283">
        <f t="shared" si="4"/>
        <v>99.1</v>
      </c>
      <c r="O65" s="283"/>
      <c r="P65" s="275"/>
      <c r="Q65" s="276"/>
      <c r="R65" s="277"/>
      <c r="S65" s="10"/>
      <c r="T65" s="8"/>
    </row>
    <row r="66" spans="1:22" ht="23.25" customHeight="1">
      <c r="A66" s="6"/>
      <c r="B66" s="32" t="s">
        <v>360</v>
      </c>
      <c r="C66" s="48" t="s">
        <v>322</v>
      </c>
      <c r="D66" s="49" t="s">
        <v>402</v>
      </c>
      <c r="E66" s="119" t="s">
        <v>325</v>
      </c>
      <c r="F66" s="272" t="s">
        <v>326</v>
      </c>
      <c r="G66" s="273"/>
      <c r="H66" s="274"/>
      <c r="I66" s="31">
        <v>2</v>
      </c>
      <c r="J66" s="31">
        <v>5.92</v>
      </c>
      <c r="K66" s="25"/>
      <c r="L66" s="129"/>
      <c r="M66" s="129">
        <v>3.63</v>
      </c>
      <c r="N66" s="283">
        <f t="shared" si="4"/>
        <v>42.98</v>
      </c>
      <c r="O66" s="283"/>
      <c r="P66" s="275"/>
      <c r="Q66" s="276"/>
      <c r="R66" s="277"/>
      <c r="S66" s="10"/>
      <c r="T66" s="8"/>
      <c r="V66">
        <f>+J66*I66</f>
        <v>11.84</v>
      </c>
    </row>
    <row r="67" spans="1:22" ht="23.25" customHeight="1">
      <c r="A67" s="6"/>
      <c r="B67" s="32" t="s">
        <v>361</v>
      </c>
      <c r="C67" s="48" t="s">
        <v>322</v>
      </c>
      <c r="D67" s="49" t="s">
        <v>402</v>
      </c>
      <c r="E67" s="119" t="s">
        <v>325</v>
      </c>
      <c r="F67" s="272" t="s">
        <v>327</v>
      </c>
      <c r="G67" s="273"/>
      <c r="H67" s="274"/>
      <c r="I67" s="31">
        <v>2</v>
      </c>
      <c r="J67" s="31">
        <v>5.15</v>
      </c>
      <c r="K67" s="25"/>
      <c r="L67" s="129"/>
      <c r="M67" s="129">
        <v>3.63</v>
      </c>
      <c r="N67" s="283">
        <f t="shared" si="4"/>
        <v>37.39</v>
      </c>
      <c r="O67" s="283"/>
      <c r="P67" s="275"/>
      <c r="Q67" s="276"/>
      <c r="R67" s="277"/>
      <c r="S67" s="10"/>
      <c r="T67" s="8"/>
      <c r="V67">
        <f>+J67*I67</f>
        <v>10.3</v>
      </c>
    </row>
    <row r="68" spans="1:22" ht="28.5" customHeight="1">
      <c r="A68" s="6"/>
      <c r="B68" s="32" t="s">
        <v>362</v>
      </c>
      <c r="C68" s="48" t="s">
        <v>322</v>
      </c>
      <c r="D68" s="49" t="s">
        <v>402</v>
      </c>
      <c r="E68" s="119" t="s">
        <v>325</v>
      </c>
      <c r="F68" s="272" t="s">
        <v>225</v>
      </c>
      <c r="G68" s="273"/>
      <c r="H68" s="274"/>
      <c r="I68" s="31">
        <v>4</v>
      </c>
      <c r="J68" s="31">
        <v>0.3</v>
      </c>
      <c r="K68" s="25">
        <v>0.15</v>
      </c>
      <c r="L68" s="129">
        <v>8.0000000000000002E-3</v>
      </c>
      <c r="M68" s="115">
        <v>7850</v>
      </c>
      <c r="N68" s="283">
        <f t="shared" si="4"/>
        <v>11.3</v>
      </c>
      <c r="O68" s="283"/>
      <c r="P68" s="275"/>
      <c r="Q68" s="276"/>
      <c r="R68" s="277"/>
      <c r="S68" s="10"/>
      <c r="T68" s="8"/>
    </row>
    <row r="69" spans="1:22" ht="28.5" customHeight="1">
      <c r="A69" s="6"/>
      <c r="B69" s="32" t="s">
        <v>363</v>
      </c>
      <c r="C69" s="48" t="s">
        <v>322</v>
      </c>
      <c r="D69" s="49" t="s">
        <v>402</v>
      </c>
      <c r="E69" s="119" t="s">
        <v>325</v>
      </c>
      <c r="F69" s="272" t="s">
        <v>226</v>
      </c>
      <c r="G69" s="273"/>
      <c r="H69" s="274"/>
      <c r="I69" s="31">
        <f>4*2</f>
        <v>8</v>
      </c>
      <c r="J69" s="31">
        <v>0.04</v>
      </c>
      <c r="K69" s="25"/>
      <c r="L69" s="129"/>
      <c r="M69" s="129">
        <v>3.5</v>
      </c>
      <c r="N69" s="283">
        <f t="shared" si="4"/>
        <v>1.1200000000000001</v>
      </c>
      <c r="O69" s="283"/>
      <c r="P69" s="275"/>
      <c r="Q69" s="276"/>
      <c r="R69" s="277"/>
      <c r="S69" s="10"/>
      <c r="T69" s="8"/>
    </row>
    <row r="70" spans="1:22" ht="28.5" customHeight="1">
      <c r="A70" s="6"/>
      <c r="B70" s="32" t="s">
        <v>364</v>
      </c>
      <c r="C70" s="48" t="s">
        <v>322</v>
      </c>
      <c r="D70" s="49" t="s">
        <v>402</v>
      </c>
      <c r="E70" s="119" t="s">
        <v>325</v>
      </c>
      <c r="F70" s="272" t="s">
        <v>228</v>
      </c>
      <c r="G70" s="273"/>
      <c r="H70" s="274"/>
      <c r="I70" s="31">
        <v>12</v>
      </c>
      <c r="J70" s="31">
        <v>0.04</v>
      </c>
      <c r="K70" s="25"/>
      <c r="L70" s="129"/>
      <c r="M70" s="129">
        <v>3.5</v>
      </c>
      <c r="N70" s="283">
        <f t="shared" si="4"/>
        <v>1.68</v>
      </c>
      <c r="O70" s="283"/>
      <c r="P70" s="275"/>
      <c r="Q70" s="276"/>
      <c r="R70" s="277"/>
      <c r="S70" s="10"/>
      <c r="T70" s="8"/>
    </row>
    <row r="71" spans="1:22" ht="21" customHeight="1">
      <c r="A71" s="6"/>
      <c r="B71" s="32" t="s">
        <v>365</v>
      </c>
      <c r="C71" s="48" t="s">
        <v>322</v>
      </c>
      <c r="D71" s="49" t="s">
        <v>402</v>
      </c>
      <c r="E71" s="119" t="s">
        <v>328</v>
      </c>
      <c r="F71" s="268" t="s">
        <v>235</v>
      </c>
      <c r="G71" s="269"/>
      <c r="H71" s="270"/>
      <c r="I71" s="31">
        <f>3.99*2+4+3.94+3.99+3.96+3.99*2+3.99*2+3.99*2+0.53*2+0.43+1.12+1.07+1.03+0.23+0.53</f>
        <v>53.28</v>
      </c>
      <c r="J71" s="31"/>
      <c r="K71" s="25"/>
      <c r="L71" s="129"/>
      <c r="M71" s="129">
        <v>3.5</v>
      </c>
      <c r="N71" s="283">
        <f t="shared" si="4"/>
        <v>186.48</v>
      </c>
      <c r="O71" s="283"/>
      <c r="P71" s="275"/>
      <c r="Q71" s="276"/>
      <c r="R71" s="277"/>
      <c r="S71" s="10"/>
      <c r="T71" s="8"/>
      <c r="V71">
        <f>+I71</f>
        <v>53.28</v>
      </c>
    </row>
    <row r="72" spans="1:22" ht="30" customHeight="1">
      <c r="A72" s="6"/>
      <c r="B72" s="32" t="s">
        <v>366</v>
      </c>
      <c r="C72" s="48" t="s">
        <v>322</v>
      </c>
      <c r="D72" s="49" t="s">
        <v>402</v>
      </c>
      <c r="E72" s="119" t="s">
        <v>328</v>
      </c>
      <c r="F72" s="365" t="s">
        <v>230</v>
      </c>
      <c r="G72" s="366"/>
      <c r="H72" s="367"/>
      <c r="I72" s="31">
        <v>6</v>
      </c>
      <c r="J72" s="31">
        <v>0.2</v>
      </c>
      <c r="K72" s="25">
        <v>0.2</v>
      </c>
      <c r="L72" s="129">
        <v>8.0000000000000002E-3</v>
      </c>
      <c r="M72" s="115">
        <v>7850</v>
      </c>
      <c r="N72" s="283">
        <f t="shared" si="4"/>
        <v>15.07</v>
      </c>
      <c r="O72" s="283"/>
      <c r="P72" s="275"/>
      <c r="Q72" s="276"/>
      <c r="R72" s="277"/>
      <c r="S72" s="10"/>
      <c r="T72" s="8"/>
    </row>
    <row r="73" spans="1:22" ht="45.75" customHeight="1">
      <c r="A73" s="6"/>
      <c r="B73" s="32" t="s">
        <v>367</v>
      </c>
      <c r="C73" s="48" t="s">
        <v>322</v>
      </c>
      <c r="D73" s="49" t="s">
        <v>402</v>
      </c>
      <c r="E73" s="119" t="s">
        <v>328</v>
      </c>
      <c r="F73" s="362" t="s">
        <v>330</v>
      </c>
      <c r="G73" s="363"/>
      <c r="H73" s="364"/>
      <c r="I73" s="31">
        <f>+I72*2</f>
        <v>12</v>
      </c>
      <c r="J73" s="31">
        <v>0.05</v>
      </c>
      <c r="K73" s="25"/>
      <c r="L73" s="129"/>
      <c r="M73" s="129">
        <v>3.5</v>
      </c>
      <c r="N73" s="283">
        <f t="shared" si="4"/>
        <v>2.1</v>
      </c>
      <c r="O73" s="283"/>
      <c r="P73" s="275"/>
      <c r="Q73" s="276"/>
      <c r="R73" s="277"/>
      <c r="S73" s="10"/>
      <c r="T73" s="8"/>
    </row>
    <row r="74" spans="1:22" ht="33.75" customHeight="1">
      <c r="A74" s="6"/>
      <c r="B74" s="32" t="s">
        <v>368</v>
      </c>
      <c r="C74" s="48" t="s">
        <v>322</v>
      </c>
      <c r="D74" s="49" t="s">
        <v>402</v>
      </c>
      <c r="E74" s="119" t="s">
        <v>328</v>
      </c>
      <c r="F74" s="272" t="s">
        <v>329</v>
      </c>
      <c r="G74" s="273"/>
      <c r="H74" s="274"/>
      <c r="I74" s="31">
        <f>0.66*12</f>
        <v>7.92</v>
      </c>
      <c r="J74" s="31"/>
      <c r="K74" s="25"/>
      <c r="L74" s="129"/>
      <c r="M74" s="129">
        <v>3.5</v>
      </c>
      <c r="N74" s="283">
        <f t="shared" si="4"/>
        <v>27.72</v>
      </c>
      <c r="O74" s="283"/>
      <c r="P74" s="275"/>
      <c r="Q74" s="276"/>
      <c r="R74" s="277"/>
      <c r="S74" s="10"/>
      <c r="T74" s="8"/>
      <c r="V74">
        <f>+I74</f>
        <v>7.92</v>
      </c>
    </row>
    <row r="75" spans="1:22" ht="25.5" customHeight="1">
      <c r="A75" s="6"/>
      <c r="B75" s="32" t="s">
        <v>369</v>
      </c>
      <c r="C75" s="48" t="s">
        <v>331</v>
      </c>
      <c r="D75" s="49" t="s">
        <v>237</v>
      </c>
      <c r="E75" s="119" t="s">
        <v>287</v>
      </c>
      <c r="F75" s="272" t="s">
        <v>282</v>
      </c>
      <c r="G75" s="273"/>
      <c r="H75" s="274"/>
      <c r="I75" s="31">
        <v>15</v>
      </c>
      <c r="J75" s="31">
        <v>2.4900000000000002</v>
      </c>
      <c r="K75" s="25"/>
      <c r="L75" s="129"/>
      <c r="M75" s="129">
        <v>3.63</v>
      </c>
      <c r="N75" s="283">
        <f t="shared" si="4"/>
        <v>135.58000000000001</v>
      </c>
      <c r="O75" s="283"/>
      <c r="P75" s="275"/>
      <c r="Q75" s="276"/>
      <c r="R75" s="277"/>
      <c r="S75" s="10"/>
      <c r="T75" s="8"/>
      <c r="V75">
        <f>+I75*J75</f>
        <v>37.35</v>
      </c>
    </row>
    <row r="76" spans="1:22" ht="25.5" customHeight="1">
      <c r="A76" s="6"/>
      <c r="B76" s="32" t="s">
        <v>370</v>
      </c>
      <c r="C76" s="48" t="s">
        <v>331</v>
      </c>
      <c r="D76" s="49" t="s">
        <v>237</v>
      </c>
      <c r="E76" s="119" t="s">
        <v>287</v>
      </c>
      <c r="F76" s="272" t="s">
        <v>282</v>
      </c>
      <c r="G76" s="273"/>
      <c r="H76" s="274"/>
      <c r="I76" s="31">
        <v>4</v>
      </c>
      <c r="J76" s="31">
        <v>2.34</v>
      </c>
      <c r="K76" s="25"/>
      <c r="L76" s="129"/>
      <c r="M76" s="129">
        <v>3.63</v>
      </c>
      <c r="N76" s="283">
        <f t="shared" si="4"/>
        <v>33.979999999999997</v>
      </c>
      <c r="O76" s="283"/>
      <c r="P76" s="275"/>
      <c r="Q76" s="276"/>
      <c r="R76" s="277"/>
      <c r="S76" s="10"/>
      <c r="T76" s="8"/>
      <c r="V76">
        <f t="shared" ref="V76:V77" si="6">+I76*J76</f>
        <v>9.36</v>
      </c>
    </row>
    <row r="77" spans="1:22" ht="25.5" customHeight="1">
      <c r="A77" s="6"/>
      <c r="B77" s="32" t="s">
        <v>371</v>
      </c>
      <c r="C77" s="48" t="s">
        <v>331</v>
      </c>
      <c r="D77" s="49" t="s">
        <v>237</v>
      </c>
      <c r="E77" s="119" t="s">
        <v>287</v>
      </c>
      <c r="F77" s="272" t="s">
        <v>282</v>
      </c>
      <c r="G77" s="273"/>
      <c r="H77" s="274"/>
      <c r="I77" s="31">
        <v>3</v>
      </c>
      <c r="J77" s="31">
        <v>5.5</v>
      </c>
      <c r="K77" s="25"/>
      <c r="L77" s="129"/>
      <c r="M77" s="129">
        <v>3.63</v>
      </c>
      <c r="N77" s="283">
        <f t="shared" si="4"/>
        <v>59.9</v>
      </c>
      <c r="O77" s="283"/>
      <c r="P77" s="275"/>
      <c r="Q77" s="276"/>
      <c r="R77" s="277"/>
      <c r="S77" s="10"/>
      <c r="T77" s="8"/>
      <c r="V77">
        <f t="shared" si="6"/>
        <v>16.5</v>
      </c>
    </row>
    <row r="78" spans="1:22" ht="25.5" customHeight="1">
      <c r="A78" s="6"/>
      <c r="B78" s="32" t="s">
        <v>372</v>
      </c>
      <c r="C78" s="48" t="s">
        <v>331</v>
      </c>
      <c r="D78" s="49" t="s">
        <v>237</v>
      </c>
      <c r="E78" s="119" t="s">
        <v>287</v>
      </c>
      <c r="F78" s="272" t="s">
        <v>283</v>
      </c>
      <c r="G78" s="273"/>
      <c r="H78" s="274"/>
      <c r="I78" s="31">
        <v>17</v>
      </c>
      <c r="J78" s="31"/>
      <c r="K78" s="25"/>
      <c r="L78" s="129">
        <v>0.4</v>
      </c>
      <c r="M78" s="129">
        <v>3.63</v>
      </c>
      <c r="N78" s="283">
        <f t="shared" si="4"/>
        <v>24.68</v>
      </c>
      <c r="O78" s="283"/>
      <c r="P78" s="275"/>
      <c r="Q78" s="276"/>
      <c r="R78" s="277"/>
      <c r="S78" s="10"/>
      <c r="T78" s="8"/>
      <c r="V78">
        <f>+I78*L78</f>
        <v>6.8000000000000007</v>
      </c>
    </row>
    <row r="79" spans="1:22" ht="25.5" customHeight="1">
      <c r="A79" s="6"/>
      <c r="B79" s="32" t="s">
        <v>373</v>
      </c>
      <c r="C79" s="48" t="s">
        <v>331</v>
      </c>
      <c r="D79" s="49" t="s">
        <v>237</v>
      </c>
      <c r="E79" s="119" t="s">
        <v>287</v>
      </c>
      <c r="F79" s="272" t="s">
        <v>284</v>
      </c>
      <c r="G79" s="273"/>
      <c r="H79" s="274"/>
      <c r="I79" s="31">
        <v>2</v>
      </c>
      <c r="J79" s="31"/>
      <c r="K79" s="25"/>
      <c r="L79" s="129">
        <v>0.23</v>
      </c>
      <c r="M79" s="129">
        <v>3.63</v>
      </c>
      <c r="N79" s="283">
        <f t="shared" si="4"/>
        <v>1.67</v>
      </c>
      <c r="O79" s="283"/>
      <c r="P79" s="275"/>
      <c r="Q79" s="276"/>
      <c r="R79" s="277"/>
      <c r="S79" s="10"/>
      <c r="T79" s="8"/>
      <c r="V79">
        <f>+I79*L79</f>
        <v>0.46</v>
      </c>
    </row>
    <row r="80" spans="1:22" ht="25.5" customHeight="1">
      <c r="A80" s="6"/>
      <c r="B80" s="32" t="s">
        <v>374</v>
      </c>
      <c r="C80" s="48" t="s">
        <v>331</v>
      </c>
      <c r="D80" s="49" t="s">
        <v>237</v>
      </c>
      <c r="E80" s="119" t="s">
        <v>287</v>
      </c>
      <c r="F80" s="272" t="s">
        <v>285</v>
      </c>
      <c r="G80" s="273"/>
      <c r="H80" s="274"/>
      <c r="I80" s="31">
        <v>30</v>
      </c>
      <c r="J80" s="31">
        <v>0.15</v>
      </c>
      <c r="K80" s="25">
        <v>0.15</v>
      </c>
      <c r="L80" s="129">
        <v>8.0000000000000002E-3</v>
      </c>
      <c r="M80" s="115">
        <v>7850</v>
      </c>
      <c r="N80" s="283">
        <f t="shared" si="4"/>
        <v>42.39</v>
      </c>
      <c r="O80" s="283"/>
      <c r="P80" s="275"/>
      <c r="Q80" s="276"/>
      <c r="R80" s="277"/>
      <c r="S80" s="10"/>
      <c r="T80" s="8"/>
    </row>
    <row r="81" spans="1:23" ht="31.5" customHeight="1">
      <c r="A81" s="6"/>
      <c r="B81" s="32" t="s">
        <v>375</v>
      </c>
      <c r="C81" s="48" t="s">
        <v>331</v>
      </c>
      <c r="D81" s="49" t="s">
        <v>237</v>
      </c>
      <c r="E81" s="119" t="s">
        <v>287</v>
      </c>
      <c r="F81" s="272" t="s">
        <v>286</v>
      </c>
      <c r="G81" s="273"/>
      <c r="H81" s="274"/>
      <c r="I81" s="31">
        <v>4</v>
      </c>
      <c r="J81" s="31">
        <v>0.05</v>
      </c>
      <c r="K81" s="25"/>
      <c r="L81" s="129"/>
      <c r="M81" s="129">
        <v>3.5</v>
      </c>
      <c r="N81" s="283">
        <f t="shared" si="4"/>
        <v>0.7</v>
      </c>
      <c r="O81" s="283"/>
      <c r="P81" s="275"/>
      <c r="Q81" s="276"/>
      <c r="R81" s="277"/>
      <c r="S81" s="10"/>
      <c r="T81" s="8"/>
    </row>
    <row r="82" spans="1:23" ht="25.5" customHeight="1">
      <c r="A82" s="6"/>
      <c r="B82" s="32" t="s">
        <v>376</v>
      </c>
      <c r="C82" s="48" t="s">
        <v>331</v>
      </c>
      <c r="D82" s="49" t="s">
        <v>237</v>
      </c>
      <c r="E82" s="119" t="s">
        <v>287</v>
      </c>
      <c r="F82" s="272" t="s">
        <v>288</v>
      </c>
      <c r="G82" s="273"/>
      <c r="H82" s="274"/>
      <c r="I82" s="31">
        <v>13</v>
      </c>
      <c r="J82" s="31">
        <v>5.8</v>
      </c>
      <c r="K82" s="25"/>
      <c r="L82" s="129"/>
      <c r="M82" s="129">
        <v>0.88800000000000001</v>
      </c>
      <c r="N82" s="283">
        <f t="shared" si="4"/>
        <v>66.959999999999994</v>
      </c>
      <c r="O82" s="283"/>
      <c r="P82" s="275"/>
      <c r="Q82" s="276"/>
      <c r="R82" s="277"/>
      <c r="S82" s="10"/>
      <c r="T82" s="8"/>
    </row>
    <row r="83" spans="1:23" ht="22.5" customHeight="1">
      <c r="A83" s="6"/>
      <c r="B83" s="32" t="s">
        <v>136</v>
      </c>
      <c r="C83" s="48" t="s">
        <v>80</v>
      </c>
      <c r="D83" s="49" t="s">
        <v>237</v>
      </c>
      <c r="E83" s="119" t="s">
        <v>261</v>
      </c>
      <c r="F83" s="272" t="s">
        <v>263</v>
      </c>
      <c r="G83" s="273"/>
      <c r="H83" s="274"/>
      <c r="I83" s="31">
        <f>3*6</f>
        <v>18</v>
      </c>
      <c r="J83" s="31">
        <v>0.15</v>
      </c>
      <c r="K83" s="25">
        <v>0.15</v>
      </c>
      <c r="L83" s="129">
        <v>8.0000000000000002E-3</v>
      </c>
      <c r="M83" s="115">
        <v>7850</v>
      </c>
      <c r="N83" s="283">
        <f t="shared" ref="N83:N130" si="7">IF(AND(I83=0,J83=0,K83=0,L83=0,M83=0),0,ROUND(IF(I83=0,1,I83)*IF(J83=0,1,J83)*IF(K83=0,1,K83)*IF(L83=0,1,L83)*IF(M83=0,1,M83),2))</f>
        <v>25.43</v>
      </c>
      <c r="O83" s="283"/>
      <c r="P83" s="275"/>
      <c r="Q83" s="276"/>
      <c r="R83" s="277"/>
      <c r="S83" s="10"/>
      <c r="T83" s="8"/>
    </row>
    <row r="84" spans="1:23" ht="22.5" customHeight="1">
      <c r="A84" s="6"/>
      <c r="B84" s="32" t="s">
        <v>298</v>
      </c>
      <c r="C84" s="48" t="s">
        <v>80</v>
      </c>
      <c r="D84" s="49" t="s">
        <v>237</v>
      </c>
      <c r="E84" s="119" t="s">
        <v>261</v>
      </c>
      <c r="F84" s="272" t="s">
        <v>264</v>
      </c>
      <c r="G84" s="273"/>
      <c r="H84" s="274"/>
      <c r="I84" s="31">
        <v>45</v>
      </c>
      <c r="J84" s="31">
        <v>0.75</v>
      </c>
      <c r="K84" s="25"/>
      <c r="L84" s="129"/>
      <c r="M84" s="129">
        <v>0.88800000000000001</v>
      </c>
      <c r="N84" s="283">
        <f t="shared" si="7"/>
        <v>29.97</v>
      </c>
      <c r="O84" s="283"/>
      <c r="P84" s="275"/>
      <c r="Q84" s="276"/>
      <c r="R84" s="277"/>
      <c r="S84" s="10"/>
      <c r="T84" s="8"/>
    </row>
    <row r="85" spans="1:23" ht="22.5" customHeight="1">
      <c r="A85" s="6"/>
      <c r="B85" s="32" t="s">
        <v>211</v>
      </c>
      <c r="C85" s="48" t="s">
        <v>80</v>
      </c>
      <c r="D85" s="49" t="s">
        <v>237</v>
      </c>
      <c r="E85" s="119" t="s">
        <v>261</v>
      </c>
      <c r="F85" s="272" t="s">
        <v>265</v>
      </c>
      <c r="G85" s="273"/>
      <c r="H85" s="274"/>
      <c r="I85" s="31">
        <v>6</v>
      </c>
      <c r="J85" s="31">
        <v>3.32</v>
      </c>
      <c r="K85" s="25"/>
      <c r="L85" s="129"/>
      <c r="M85" s="129">
        <v>0.88800000000000001</v>
      </c>
      <c r="N85" s="283">
        <f t="shared" si="7"/>
        <v>17.690000000000001</v>
      </c>
      <c r="O85" s="283"/>
      <c r="P85" s="275"/>
      <c r="Q85" s="276"/>
      <c r="R85" s="277"/>
      <c r="S85" s="10"/>
      <c r="T85" s="8"/>
    </row>
    <row r="86" spans="1:23" ht="27.75" customHeight="1">
      <c r="A86" s="6"/>
      <c r="B86" s="32" t="s">
        <v>213</v>
      </c>
      <c r="C86" s="48" t="s">
        <v>80</v>
      </c>
      <c r="D86" s="49" t="s">
        <v>237</v>
      </c>
      <c r="E86" s="119" t="s">
        <v>219</v>
      </c>
      <c r="F86" s="272" t="s">
        <v>262</v>
      </c>
      <c r="G86" s="273"/>
      <c r="H86" s="274"/>
      <c r="I86" s="31">
        <v>40</v>
      </c>
      <c r="J86" s="31">
        <v>0.15</v>
      </c>
      <c r="K86" s="25">
        <v>0.15</v>
      </c>
      <c r="L86" s="129">
        <v>8.0000000000000002E-3</v>
      </c>
      <c r="M86" s="115">
        <v>7850</v>
      </c>
      <c r="N86" s="283">
        <f t="shared" si="7"/>
        <v>56.52</v>
      </c>
      <c r="O86" s="283"/>
      <c r="P86" s="275"/>
      <c r="Q86" s="276"/>
      <c r="R86" s="277"/>
      <c r="S86" s="10"/>
      <c r="T86" s="8"/>
    </row>
    <row r="87" spans="1:23" ht="22.5" customHeight="1">
      <c r="A87" s="6"/>
      <c r="B87" s="32" t="s">
        <v>107</v>
      </c>
      <c r="C87" s="48" t="s">
        <v>80</v>
      </c>
      <c r="D87" s="49" t="s">
        <v>237</v>
      </c>
      <c r="E87" s="119" t="s">
        <v>261</v>
      </c>
      <c r="F87" s="272" t="s">
        <v>262</v>
      </c>
      <c r="G87" s="273"/>
      <c r="H87" s="274"/>
      <c r="I87" s="31">
        <v>19</v>
      </c>
      <c r="J87" s="31">
        <v>0.15</v>
      </c>
      <c r="K87" s="25">
        <v>0.15</v>
      </c>
      <c r="L87" s="129">
        <v>8.0000000000000002E-3</v>
      </c>
      <c r="M87" s="115">
        <v>7850</v>
      </c>
      <c r="N87" s="283">
        <f t="shared" si="7"/>
        <v>26.85</v>
      </c>
      <c r="O87" s="283"/>
      <c r="P87" s="275"/>
      <c r="Q87" s="276"/>
      <c r="R87" s="277"/>
      <c r="S87" s="10"/>
      <c r="T87" s="8"/>
    </row>
    <row r="88" spans="1:23" ht="30" customHeight="1">
      <c r="A88" s="6"/>
      <c r="B88" s="32" t="s">
        <v>215</v>
      </c>
      <c r="C88" s="48" t="s">
        <v>80</v>
      </c>
      <c r="D88" s="49" t="s">
        <v>237</v>
      </c>
      <c r="E88" s="119" t="s">
        <v>261</v>
      </c>
      <c r="F88" s="272" t="s">
        <v>266</v>
      </c>
      <c r="G88" s="273"/>
      <c r="H88" s="274"/>
      <c r="I88" s="31">
        <v>1</v>
      </c>
      <c r="J88" s="31">
        <v>22.62</v>
      </c>
      <c r="K88" s="25"/>
      <c r="L88" s="129"/>
      <c r="M88" s="129">
        <v>3</v>
      </c>
      <c r="N88" s="283">
        <f t="shared" si="7"/>
        <v>67.86</v>
      </c>
      <c r="O88" s="283"/>
      <c r="P88" s="275"/>
      <c r="Q88" s="276"/>
      <c r="R88" s="277"/>
      <c r="S88" s="10"/>
      <c r="T88" s="8"/>
      <c r="W88">
        <f>+J88*I88</f>
        <v>22.62</v>
      </c>
    </row>
    <row r="89" spans="1:23" ht="30" customHeight="1">
      <c r="A89" s="6"/>
      <c r="B89" s="32" t="s">
        <v>216</v>
      </c>
      <c r="C89" s="48" t="s">
        <v>80</v>
      </c>
      <c r="D89" s="49" t="s">
        <v>237</v>
      </c>
      <c r="E89" s="119" t="s">
        <v>261</v>
      </c>
      <c r="F89" s="272" t="s">
        <v>267</v>
      </c>
      <c r="G89" s="273"/>
      <c r="H89" s="274"/>
      <c r="I89" s="31">
        <v>32</v>
      </c>
      <c r="J89" s="31">
        <v>2.46</v>
      </c>
      <c r="K89" s="25"/>
      <c r="L89" s="129"/>
      <c r="M89" s="129">
        <v>3</v>
      </c>
      <c r="N89" s="283">
        <f t="shared" si="7"/>
        <v>236.16</v>
      </c>
      <c r="O89" s="283"/>
      <c r="P89" s="275"/>
      <c r="Q89" s="276"/>
      <c r="R89" s="277"/>
      <c r="S89" s="10"/>
      <c r="T89" s="8"/>
      <c r="W89">
        <f t="shared" ref="W89:W91" si="8">+J89*I89</f>
        <v>78.72</v>
      </c>
    </row>
    <row r="90" spans="1:23" ht="30" customHeight="1">
      <c r="A90" s="6"/>
      <c r="B90" s="32" t="s">
        <v>218</v>
      </c>
      <c r="C90" s="48" t="s">
        <v>80</v>
      </c>
      <c r="D90" s="49" t="s">
        <v>237</v>
      </c>
      <c r="E90" s="119" t="s">
        <v>261</v>
      </c>
      <c r="F90" s="272" t="s">
        <v>268</v>
      </c>
      <c r="G90" s="273"/>
      <c r="H90" s="274"/>
      <c r="I90" s="31">
        <v>1</v>
      </c>
      <c r="J90" s="31">
        <v>2.16</v>
      </c>
      <c r="K90" s="25"/>
      <c r="L90" s="129"/>
      <c r="M90" s="129">
        <v>3</v>
      </c>
      <c r="N90" s="283">
        <f t="shared" si="7"/>
        <v>6.48</v>
      </c>
      <c r="O90" s="283"/>
      <c r="P90" s="275"/>
      <c r="Q90" s="276"/>
      <c r="R90" s="277"/>
      <c r="S90" s="10"/>
      <c r="T90" s="8"/>
      <c r="W90">
        <f t="shared" si="8"/>
        <v>2.16</v>
      </c>
    </row>
    <row r="91" spans="1:23" ht="30" customHeight="1">
      <c r="A91" s="6"/>
      <c r="B91" s="32" t="s">
        <v>220</v>
      </c>
      <c r="C91" s="48" t="s">
        <v>80</v>
      </c>
      <c r="D91" s="49" t="s">
        <v>237</v>
      </c>
      <c r="E91" s="119" t="s">
        <v>261</v>
      </c>
      <c r="F91" s="272" t="s">
        <v>269</v>
      </c>
      <c r="G91" s="273"/>
      <c r="H91" s="274"/>
      <c r="I91" s="31">
        <v>2</v>
      </c>
      <c r="J91" s="31">
        <v>1.71</v>
      </c>
      <c r="K91" s="25"/>
      <c r="L91" s="129"/>
      <c r="M91" s="129">
        <v>3</v>
      </c>
      <c r="N91" s="283">
        <f t="shared" si="7"/>
        <v>10.26</v>
      </c>
      <c r="O91" s="283"/>
      <c r="P91" s="275"/>
      <c r="Q91" s="276"/>
      <c r="R91" s="277"/>
      <c r="S91" s="10"/>
      <c r="T91" s="8"/>
      <c r="W91">
        <f t="shared" si="8"/>
        <v>3.42</v>
      </c>
    </row>
    <row r="92" spans="1:23" ht="30" customHeight="1">
      <c r="A92" s="6"/>
      <c r="B92" s="32" t="s">
        <v>221</v>
      </c>
      <c r="C92" s="48" t="s">
        <v>80</v>
      </c>
      <c r="D92" s="49" t="s">
        <v>237</v>
      </c>
      <c r="E92" s="119" t="s">
        <v>261</v>
      </c>
      <c r="F92" s="272" t="s">
        <v>270</v>
      </c>
      <c r="G92" s="273"/>
      <c r="H92" s="274"/>
      <c r="I92" s="31">
        <v>70</v>
      </c>
      <c r="J92" s="31">
        <v>0.04</v>
      </c>
      <c r="K92" s="25"/>
      <c r="L92" s="129"/>
      <c r="M92" s="129">
        <v>3.5</v>
      </c>
      <c r="N92" s="283">
        <f t="shared" si="7"/>
        <v>9.8000000000000007</v>
      </c>
      <c r="O92" s="283"/>
      <c r="P92" s="275"/>
      <c r="Q92" s="276"/>
      <c r="R92" s="277"/>
      <c r="S92" s="10"/>
      <c r="T92" s="8"/>
    </row>
    <row r="93" spans="1:23" ht="30" customHeight="1">
      <c r="A93" s="6"/>
      <c r="B93" s="32" t="s">
        <v>222</v>
      </c>
      <c r="C93" s="48" t="s">
        <v>80</v>
      </c>
      <c r="D93" s="49" t="s">
        <v>237</v>
      </c>
      <c r="E93" s="119" t="s">
        <v>261</v>
      </c>
      <c r="F93" s="272" t="s">
        <v>271</v>
      </c>
      <c r="G93" s="273"/>
      <c r="H93" s="274"/>
      <c r="I93" s="31">
        <v>1</v>
      </c>
      <c r="J93" s="31">
        <v>22.62</v>
      </c>
      <c r="K93" s="25"/>
      <c r="L93" s="129"/>
      <c r="M93" s="129">
        <v>3.63</v>
      </c>
      <c r="N93" s="283">
        <f t="shared" si="7"/>
        <v>82.11</v>
      </c>
      <c r="O93" s="283"/>
      <c r="P93" s="275"/>
      <c r="Q93" s="276"/>
      <c r="R93" s="277"/>
      <c r="S93" s="10"/>
      <c r="T93" s="8"/>
      <c r="V93">
        <f>+I93*J93</f>
        <v>22.62</v>
      </c>
    </row>
    <row r="94" spans="1:23" ht="30" customHeight="1">
      <c r="A94" s="6"/>
      <c r="B94" s="32" t="s">
        <v>224</v>
      </c>
      <c r="C94" s="48" t="s">
        <v>80</v>
      </c>
      <c r="D94" s="49" t="s">
        <v>237</v>
      </c>
      <c r="E94" s="119" t="s">
        <v>261</v>
      </c>
      <c r="F94" s="272" t="s">
        <v>272</v>
      </c>
      <c r="G94" s="273"/>
      <c r="H94" s="274"/>
      <c r="I94" s="31">
        <v>2</v>
      </c>
      <c r="J94" s="31">
        <v>22.62</v>
      </c>
      <c r="K94" s="25"/>
      <c r="L94" s="129"/>
      <c r="M94" s="129">
        <v>3</v>
      </c>
      <c r="N94" s="283">
        <f t="shared" si="7"/>
        <v>135.72</v>
      </c>
      <c r="O94" s="283"/>
      <c r="P94" s="275"/>
      <c r="Q94" s="276"/>
      <c r="R94" s="277"/>
      <c r="S94" s="10"/>
      <c r="T94" s="8"/>
      <c r="W94">
        <f t="shared" ref="W94:W102" si="9">+J94*I94</f>
        <v>45.24</v>
      </c>
    </row>
    <row r="95" spans="1:23" ht="30" customHeight="1">
      <c r="A95" s="6"/>
      <c r="B95" s="32" t="s">
        <v>299</v>
      </c>
      <c r="C95" s="48" t="s">
        <v>80</v>
      </c>
      <c r="D95" s="49" t="s">
        <v>237</v>
      </c>
      <c r="E95" s="119" t="s">
        <v>261</v>
      </c>
      <c r="F95" s="272" t="s">
        <v>273</v>
      </c>
      <c r="G95" s="273"/>
      <c r="H95" s="274"/>
      <c r="I95" s="31">
        <v>18</v>
      </c>
      <c r="J95" s="31">
        <v>0.7</v>
      </c>
      <c r="K95" s="25"/>
      <c r="L95" s="129"/>
      <c r="M95" s="129">
        <v>3</v>
      </c>
      <c r="N95" s="283">
        <f t="shared" si="7"/>
        <v>37.799999999999997</v>
      </c>
      <c r="O95" s="283"/>
      <c r="P95" s="275"/>
      <c r="Q95" s="276"/>
      <c r="R95" s="277"/>
      <c r="S95" s="10"/>
      <c r="T95" s="8"/>
      <c r="W95">
        <f t="shared" si="9"/>
        <v>12.6</v>
      </c>
    </row>
    <row r="96" spans="1:23" ht="30" customHeight="1">
      <c r="A96" s="6"/>
      <c r="B96" s="32" t="s">
        <v>300</v>
      </c>
      <c r="C96" s="48" t="s">
        <v>80</v>
      </c>
      <c r="D96" s="49" t="s">
        <v>237</v>
      </c>
      <c r="E96" s="119" t="s">
        <v>261</v>
      </c>
      <c r="F96" s="272" t="s">
        <v>274</v>
      </c>
      <c r="G96" s="273"/>
      <c r="H96" s="274"/>
      <c r="I96" s="31">
        <v>36</v>
      </c>
      <c r="J96" s="31">
        <v>0.04</v>
      </c>
      <c r="K96" s="25"/>
      <c r="L96" s="129"/>
      <c r="M96" s="129">
        <v>3.5</v>
      </c>
      <c r="N96" s="283">
        <f t="shared" si="7"/>
        <v>5.04</v>
      </c>
      <c r="O96" s="283"/>
      <c r="P96" s="275"/>
      <c r="Q96" s="276"/>
      <c r="R96" s="277"/>
      <c r="S96" s="10"/>
      <c r="T96" s="8"/>
    </row>
    <row r="97" spans="1:24" ht="30" customHeight="1">
      <c r="A97" s="6"/>
      <c r="B97" s="32" t="s">
        <v>301</v>
      </c>
      <c r="C97" s="48" t="s">
        <v>80</v>
      </c>
      <c r="D97" s="49" t="s">
        <v>237</v>
      </c>
      <c r="E97" s="119" t="s">
        <v>261</v>
      </c>
      <c r="F97" s="272" t="s">
        <v>275</v>
      </c>
      <c r="G97" s="273"/>
      <c r="H97" s="274"/>
      <c r="I97" s="31">
        <v>6</v>
      </c>
      <c r="J97" s="31">
        <v>3.32</v>
      </c>
      <c r="K97" s="25"/>
      <c r="L97" s="129"/>
      <c r="M97" s="129">
        <v>3</v>
      </c>
      <c r="N97" s="283">
        <f t="shared" si="7"/>
        <v>59.76</v>
      </c>
      <c r="O97" s="283"/>
      <c r="P97" s="275"/>
      <c r="Q97" s="276"/>
      <c r="R97" s="277"/>
      <c r="S97" s="10"/>
      <c r="T97" s="8"/>
      <c r="W97">
        <f t="shared" si="9"/>
        <v>19.919999999999998</v>
      </c>
    </row>
    <row r="98" spans="1:24" ht="30" customHeight="1">
      <c r="A98" s="6"/>
      <c r="B98" s="32" t="s">
        <v>302</v>
      </c>
      <c r="C98" s="48" t="s">
        <v>80</v>
      </c>
      <c r="D98" s="49" t="s">
        <v>237</v>
      </c>
      <c r="E98" s="119" t="s">
        <v>261</v>
      </c>
      <c r="F98" s="272" t="s">
        <v>276</v>
      </c>
      <c r="G98" s="273"/>
      <c r="H98" s="274"/>
      <c r="I98" s="31">
        <v>18</v>
      </c>
      <c r="J98" s="31">
        <v>0.1</v>
      </c>
      <c r="K98" s="25"/>
      <c r="L98" s="129"/>
      <c r="M98" s="129">
        <v>3</v>
      </c>
      <c r="N98" s="283">
        <f t="shared" si="7"/>
        <v>5.4</v>
      </c>
      <c r="O98" s="283"/>
      <c r="P98" s="275"/>
      <c r="Q98" s="276"/>
      <c r="R98" s="277"/>
      <c r="S98" s="10"/>
      <c r="T98" s="8"/>
      <c r="W98">
        <f t="shared" si="9"/>
        <v>1.8</v>
      </c>
    </row>
    <row r="99" spans="1:24" ht="25.5" customHeight="1">
      <c r="A99" s="6"/>
      <c r="B99" s="32" t="s">
        <v>303</v>
      </c>
      <c r="C99" s="48" t="s">
        <v>80</v>
      </c>
      <c r="D99" s="49" t="s">
        <v>237</v>
      </c>
      <c r="E99" s="119" t="s">
        <v>219</v>
      </c>
      <c r="F99" s="272" t="s">
        <v>277</v>
      </c>
      <c r="G99" s="273"/>
      <c r="H99" s="274"/>
      <c r="I99" s="31">
        <v>1</v>
      </c>
      <c r="J99" s="31">
        <v>46.58</v>
      </c>
      <c r="K99" s="25"/>
      <c r="L99" s="129"/>
      <c r="M99" s="129">
        <v>3</v>
      </c>
      <c r="N99" s="283">
        <f t="shared" si="7"/>
        <v>139.74</v>
      </c>
      <c r="O99" s="283"/>
      <c r="P99" s="275"/>
      <c r="Q99" s="276"/>
      <c r="R99" s="277"/>
      <c r="S99" s="10"/>
      <c r="T99" s="8"/>
      <c r="W99">
        <f t="shared" si="9"/>
        <v>46.58</v>
      </c>
    </row>
    <row r="100" spans="1:24" ht="31.5" customHeight="1">
      <c r="A100" s="6"/>
      <c r="B100" s="32" t="s">
        <v>304</v>
      </c>
      <c r="C100" s="48" t="s">
        <v>80</v>
      </c>
      <c r="D100" s="49" t="s">
        <v>237</v>
      </c>
      <c r="E100" s="119" t="s">
        <v>219</v>
      </c>
      <c r="F100" s="272" t="s">
        <v>267</v>
      </c>
      <c r="G100" s="273"/>
      <c r="H100" s="274"/>
      <c r="I100" s="31">
        <v>38</v>
      </c>
      <c r="J100" s="31">
        <v>2.46</v>
      </c>
      <c r="K100" s="25"/>
      <c r="L100" s="129"/>
      <c r="M100" s="129">
        <v>3</v>
      </c>
      <c r="N100" s="283">
        <f t="shared" si="7"/>
        <v>280.44</v>
      </c>
      <c r="O100" s="283"/>
      <c r="P100" s="275"/>
      <c r="Q100" s="276"/>
      <c r="R100" s="277"/>
      <c r="S100" s="10"/>
      <c r="T100" s="8"/>
      <c r="W100">
        <f t="shared" si="9"/>
        <v>93.48</v>
      </c>
    </row>
    <row r="101" spans="1:24" ht="31.5" customHeight="1">
      <c r="A101" s="6"/>
      <c r="B101" s="32" t="s">
        <v>305</v>
      </c>
      <c r="C101" s="48" t="s">
        <v>80</v>
      </c>
      <c r="D101" s="49" t="s">
        <v>237</v>
      </c>
      <c r="E101" s="119" t="s">
        <v>219</v>
      </c>
      <c r="F101" s="272" t="s">
        <v>268</v>
      </c>
      <c r="G101" s="273"/>
      <c r="H101" s="274"/>
      <c r="I101" s="31">
        <v>31</v>
      </c>
      <c r="J101" s="31">
        <v>2.16</v>
      </c>
      <c r="K101" s="25"/>
      <c r="L101" s="129"/>
      <c r="M101" s="129">
        <v>3</v>
      </c>
      <c r="N101" s="283">
        <f t="shared" si="7"/>
        <v>200.88</v>
      </c>
      <c r="O101" s="283"/>
      <c r="P101" s="275"/>
      <c r="Q101" s="276"/>
      <c r="R101" s="277"/>
      <c r="S101" s="10"/>
      <c r="T101" s="8"/>
      <c r="W101">
        <f t="shared" si="9"/>
        <v>66.960000000000008</v>
      </c>
    </row>
    <row r="102" spans="1:24" ht="31.5" customHeight="1">
      <c r="A102" s="6"/>
      <c r="B102" s="32" t="s">
        <v>306</v>
      </c>
      <c r="C102" s="48" t="s">
        <v>80</v>
      </c>
      <c r="D102" s="49" t="s">
        <v>237</v>
      </c>
      <c r="E102" s="119" t="s">
        <v>219</v>
      </c>
      <c r="F102" s="272" t="s">
        <v>269</v>
      </c>
      <c r="G102" s="273"/>
      <c r="H102" s="274"/>
      <c r="I102" s="31">
        <v>6</v>
      </c>
      <c r="J102" s="31">
        <v>1.71</v>
      </c>
      <c r="K102" s="25"/>
      <c r="L102" s="129"/>
      <c r="M102" s="129">
        <v>3</v>
      </c>
      <c r="N102" s="283">
        <f t="shared" si="7"/>
        <v>30.78</v>
      </c>
      <c r="O102" s="283"/>
      <c r="P102" s="275"/>
      <c r="Q102" s="276"/>
      <c r="R102" s="277"/>
      <c r="S102" s="10"/>
      <c r="T102" s="8"/>
      <c r="W102">
        <f t="shared" si="9"/>
        <v>10.26</v>
      </c>
    </row>
    <row r="103" spans="1:24" ht="31.5" customHeight="1">
      <c r="A103" s="6"/>
      <c r="B103" s="32" t="s">
        <v>307</v>
      </c>
      <c r="C103" s="48" t="s">
        <v>80</v>
      </c>
      <c r="D103" s="49" t="s">
        <v>237</v>
      </c>
      <c r="E103" s="119" t="s">
        <v>219</v>
      </c>
      <c r="F103" s="272" t="s">
        <v>270</v>
      </c>
      <c r="G103" s="273"/>
      <c r="H103" s="274"/>
      <c r="I103" s="31">
        <v>150</v>
      </c>
      <c r="J103" s="31">
        <v>0.04</v>
      </c>
      <c r="K103" s="25"/>
      <c r="L103" s="129"/>
      <c r="M103" s="129">
        <v>3.5</v>
      </c>
      <c r="N103" s="283">
        <f t="shared" si="7"/>
        <v>21</v>
      </c>
      <c r="O103" s="283"/>
      <c r="P103" s="275"/>
      <c r="Q103" s="276"/>
      <c r="R103" s="277"/>
      <c r="S103" s="10"/>
      <c r="T103" s="8"/>
    </row>
    <row r="104" spans="1:24" ht="31.5" customHeight="1">
      <c r="A104" s="6"/>
      <c r="B104" s="32" t="s">
        <v>308</v>
      </c>
      <c r="C104" s="48" t="s">
        <v>80</v>
      </c>
      <c r="D104" s="49" t="s">
        <v>237</v>
      </c>
      <c r="E104" s="119" t="s">
        <v>219</v>
      </c>
      <c r="F104" s="272" t="s">
        <v>271</v>
      </c>
      <c r="G104" s="273"/>
      <c r="H104" s="274"/>
      <c r="I104" s="31">
        <v>1</v>
      </c>
      <c r="J104" s="31">
        <v>46.58</v>
      </c>
      <c r="K104" s="25"/>
      <c r="L104" s="129"/>
      <c r="M104" s="129">
        <v>3.63</v>
      </c>
      <c r="N104" s="283">
        <f t="shared" si="7"/>
        <v>169.09</v>
      </c>
      <c r="O104" s="283"/>
      <c r="P104" s="275"/>
      <c r="Q104" s="276"/>
      <c r="R104" s="277"/>
      <c r="S104" s="10"/>
      <c r="T104" s="8"/>
      <c r="V104">
        <f>+I104*J104</f>
        <v>46.58</v>
      </c>
    </row>
    <row r="105" spans="1:24" ht="31.5" customHeight="1">
      <c r="A105" s="6"/>
      <c r="B105" s="32" t="s">
        <v>309</v>
      </c>
      <c r="C105" s="48" t="s">
        <v>80</v>
      </c>
      <c r="D105" s="49" t="s">
        <v>237</v>
      </c>
      <c r="E105" s="119" t="s">
        <v>219</v>
      </c>
      <c r="F105" s="272" t="s">
        <v>272</v>
      </c>
      <c r="G105" s="273"/>
      <c r="H105" s="274"/>
      <c r="I105" s="31">
        <v>2</v>
      </c>
      <c r="J105" s="31">
        <v>46.58</v>
      </c>
      <c r="K105" s="25"/>
      <c r="L105" s="129"/>
      <c r="M105" s="129">
        <v>3</v>
      </c>
      <c r="N105" s="283">
        <f t="shared" si="7"/>
        <v>279.48</v>
      </c>
      <c r="O105" s="283"/>
      <c r="P105" s="275"/>
      <c r="Q105" s="276"/>
      <c r="R105" s="277"/>
      <c r="S105" s="10"/>
      <c r="T105" s="8"/>
      <c r="V105">
        <f>+SUM(V43:V104)</f>
        <v>438.58000000000004</v>
      </c>
      <c r="W105">
        <f>+J105*I105</f>
        <v>93.16</v>
      </c>
    </row>
    <row r="106" spans="1:24" ht="31.5" customHeight="1">
      <c r="A106" s="6"/>
      <c r="B106" s="32" t="s">
        <v>310</v>
      </c>
      <c r="C106" s="48" t="s">
        <v>80</v>
      </c>
      <c r="D106" s="49" t="s">
        <v>237</v>
      </c>
      <c r="E106" s="119" t="s">
        <v>219</v>
      </c>
      <c r="F106" s="272" t="s">
        <v>273</v>
      </c>
      <c r="G106" s="273"/>
      <c r="H106" s="274"/>
      <c r="I106" s="31">
        <v>39</v>
      </c>
      <c r="J106" s="31">
        <v>0.7</v>
      </c>
      <c r="K106" s="25"/>
      <c r="L106" s="129"/>
      <c r="M106" s="129">
        <v>3</v>
      </c>
      <c r="N106" s="283">
        <f t="shared" si="7"/>
        <v>81.900000000000006</v>
      </c>
      <c r="O106" s="283"/>
      <c r="P106" s="275"/>
      <c r="Q106" s="276"/>
      <c r="R106" s="277"/>
      <c r="S106" s="10"/>
      <c r="T106" s="8"/>
      <c r="V106">
        <f>+V105/6</f>
        <v>73.096666666666678</v>
      </c>
      <c r="W106">
        <f>+J106*I106</f>
        <v>27.299999999999997</v>
      </c>
    </row>
    <row r="107" spans="1:24" ht="28.5" customHeight="1">
      <c r="A107" s="6"/>
      <c r="B107" s="32" t="s">
        <v>311</v>
      </c>
      <c r="C107" s="48" t="s">
        <v>80</v>
      </c>
      <c r="D107" s="49" t="s">
        <v>237</v>
      </c>
      <c r="E107" s="119" t="s">
        <v>219</v>
      </c>
      <c r="F107" s="272" t="s">
        <v>274</v>
      </c>
      <c r="G107" s="273"/>
      <c r="H107" s="274"/>
      <c r="I107" s="31">
        <v>78</v>
      </c>
      <c r="J107" s="31">
        <v>0.04</v>
      </c>
      <c r="K107" s="25"/>
      <c r="L107" s="129"/>
      <c r="M107" s="129">
        <v>3.5</v>
      </c>
      <c r="N107" s="283">
        <f t="shared" si="7"/>
        <v>10.92</v>
      </c>
      <c r="O107" s="283"/>
      <c r="P107" s="275"/>
      <c r="Q107" s="276"/>
      <c r="R107" s="277"/>
      <c r="S107" s="10"/>
      <c r="T107" s="8"/>
    </row>
    <row r="108" spans="1:24" ht="30.75" customHeight="1">
      <c r="A108" s="6"/>
      <c r="B108" s="32" t="s">
        <v>312</v>
      </c>
      <c r="C108" s="48" t="s">
        <v>80</v>
      </c>
      <c r="D108" s="49" t="s">
        <v>237</v>
      </c>
      <c r="E108" s="119" t="s">
        <v>261</v>
      </c>
      <c r="F108" s="272" t="s">
        <v>260</v>
      </c>
      <c r="G108" s="273"/>
      <c r="H108" s="274"/>
      <c r="I108" s="31">
        <v>16</v>
      </c>
      <c r="J108" s="31">
        <v>0.28999999999999998</v>
      </c>
      <c r="K108" s="25"/>
      <c r="L108" s="129"/>
      <c r="M108" s="129">
        <v>1.75</v>
      </c>
      <c r="N108" s="283">
        <f t="shared" si="7"/>
        <v>8.1199999999999992</v>
      </c>
      <c r="O108" s="283"/>
      <c r="P108" s="275"/>
      <c r="Q108" s="276"/>
      <c r="R108" s="277"/>
      <c r="S108" s="10"/>
      <c r="T108" s="8"/>
      <c r="X108">
        <f>+J108*I108</f>
        <v>4.6399999999999997</v>
      </c>
    </row>
    <row r="109" spans="1:24" ht="30.75" customHeight="1">
      <c r="A109" s="6"/>
      <c r="B109" s="32" t="s">
        <v>313</v>
      </c>
      <c r="C109" s="48" t="s">
        <v>80</v>
      </c>
      <c r="D109" s="49" t="s">
        <v>237</v>
      </c>
      <c r="E109" s="119" t="s">
        <v>219</v>
      </c>
      <c r="F109" s="272" t="s">
        <v>260</v>
      </c>
      <c r="G109" s="273"/>
      <c r="H109" s="274"/>
      <c r="I109" s="31">
        <v>72</v>
      </c>
      <c r="J109" s="31">
        <v>0.28999999999999998</v>
      </c>
      <c r="K109" s="25"/>
      <c r="L109" s="129"/>
      <c r="M109" s="129">
        <v>1.75</v>
      </c>
      <c r="N109" s="283">
        <f t="shared" si="7"/>
        <v>36.54</v>
      </c>
      <c r="O109" s="283"/>
      <c r="P109" s="275"/>
      <c r="Q109" s="276"/>
      <c r="R109" s="277"/>
      <c r="S109" s="10"/>
      <c r="T109" s="8"/>
      <c r="X109">
        <f>+J109*I109</f>
        <v>20.88</v>
      </c>
    </row>
    <row r="110" spans="1:24" ht="30.75" customHeight="1">
      <c r="A110" s="6"/>
      <c r="B110" s="32" t="s">
        <v>314</v>
      </c>
      <c r="C110" s="48" t="s">
        <v>331</v>
      </c>
      <c r="D110" s="49" t="s">
        <v>237</v>
      </c>
      <c r="E110" s="126" t="s">
        <v>332</v>
      </c>
      <c r="F110" s="359" t="s">
        <v>267</v>
      </c>
      <c r="G110" s="360"/>
      <c r="H110" s="361"/>
      <c r="I110" s="31">
        <v>8</v>
      </c>
      <c r="J110" s="31">
        <v>2.5</v>
      </c>
      <c r="K110" s="25"/>
      <c r="L110" s="129"/>
      <c r="M110" s="129">
        <v>3</v>
      </c>
      <c r="N110" s="283">
        <f t="shared" si="7"/>
        <v>60</v>
      </c>
      <c r="O110" s="283"/>
      <c r="P110" s="275"/>
      <c r="Q110" s="276"/>
      <c r="R110" s="277"/>
      <c r="S110" s="10"/>
      <c r="T110" s="8"/>
      <c r="W110">
        <f t="shared" ref="W110:W128" si="10">+J110*I110</f>
        <v>20</v>
      </c>
    </row>
    <row r="111" spans="1:24" ht="30.75" customHeight="1">
      <c r="A111" s="6"/>
      <c r="B111" s="32" t="s">
        <v>315</v>
      </c>
      <c r="C111" s="48" t="s">
        <v>331</v>
      </c>
      <c r="D111" s="49" t="s">
        <v>237</v>
      </c>
      <c r="E111" s="126" t="s">
        <v>332</v>
      </c>
      <c r="F111" s="272" t="s">
        <v>269</v>
      </c>
      <c r="G111" s="273"/>
      <c r="H111" s="274"/>
      <c r="I111" s="31">
        <v>1</v>
      </c>
      <c r="J111" s="31">
        <v>1.8</v>
      </c>
      <c r="K111" s="25"/>
      <c r="L111" s="129"/>
      <c r="M111" s="129">
        <v>3</v>
      </c>
      <c r="N111" s="283">
        <f t="shared" si="7"/>
        <v>5.4</v>
      </c>
      <c r="O111" s="283"/>
      <c r="P111" s="275"/>
      <c r="Q111" s="276"/>
      <c r="R111" s="277"/>
      <c r="S111" s="10"/>
      <c r="T111" s="8"/>
      <c r="W111">
        <f t="shared" si="10"/>
        <v>1.8</v>
      </c>
    </row>
    <row r="112" spans="1:24" ht="30.75" customHeight="1">
      <c r="A112" s="6"/>
      <c r="B112" s="32" t="s">
        <v>316</v>
      </c>
      <c r="C112" s="48" t="s">
        <v>331</v>
      </c>
      <c r="D112" s="49" t="s">
        <v>237</v>
      </c>
      <c r="E112" s="126" t="s">
        <v>332</v>
      </c>
      <c r="F112" s="272" t="s">
        <v>273</v>
      </c>
      <c r="G112" s="273"/>
      <c r="H112" s="274"/>
      <c r="I112" s="31">
        <v>12</v>
      </c>
      <c r="J112" s="31">
        <v>0.7</v>
      </c>
      <c r="K112" s="25"/>
      <c r="L112" s="129"/>
      <c r="M112" s="129">
        <v>3</v>
      </c>
      <c r="N112" s="283">
        <f t="shared" si="7"/>
        <v>25.2</v>
      </c>
      <c r="O112" s="283"/>
      <c r="P112" s="275"/>
      <c r="Q112" s="276"/>
      <c r="R112" s="277"/>
      <c r="S112" s="10"/>
      <c r="T112" s="8"/>
      <c r="W112">
        <f t="shared" si="10"/>
        <v>8.3999999999999986</v>
      </c>
    </row>
    <row r="113" spans="1:23" ht="21">
      <c r="A113" s="6"/>
      <c r="B113" s="32" t="s">
        <v>317</v>
      </c>
      <c r="C113" s="48" t="s">
        <v>331</v>
      </c>
      <c r="D113" s="49" t="s">
        <v>237</v>
      </c>
      <c r="E113" s="126" t="s">
        <v>332</v>
      </c>
      <c r="F113" s="272" t="s">
        <v>334</v>
      </c>
      <c r="G113" s="273"/>
      <c r="H113" s="274"/>
      <c r="I113" s="31"/>
      <c r="J113" s="31">
        <v>1.2</v>
      </c>
      <c r="K113" s="25"/>
      <c r="L113" s="129"/>
      <c r="M113" s="129">
        <v>3</v>
      </c>
      <c r="N113" s="283">
        <f t="shared" si="7"/>
        <v>3.6</v>
      </c>
      <c r="O113" s="283"/>
      <c r="P113" s="275"/>
      <c r="Q113" s="276"/>
      <c r="R113" s="277"/>
      <c r="S113" s="10"/>
      <c r="T113" s="8"/>
      <c r="W113">
        <f>+J113</f>
        <v>1.2</v>
      </c>
    </row>
    <row r="114" spans="1:23" ht="21">
      <c r="A114" s="6"/>
      <c r="B114" s="32" t="s">
        <v>318</v>
      </c>
      <c r="C114" s="48" t="s">
        <v>331</v>
      </c>
      <c r="D114" s="49" t="s">
        <v>237</v>
      </c>
      <c r="E114" s="126" t="s">
        <v>332</v>
      </c>
      <c r="F114" s="272" t="s">
        <v>272</v>
      </c>
      <c r="G114" s="273"/>
      <c r="H114" s="274"/>
      <c r="I114" s="31">
        <v>3</v>
      </c>
      <c r="J114" s="31">
        <f>10.51+0.2</f>
        <v>10.709999999999999</v>
      </c>
      <c r="K114" s="25"/>
      <c r="L114" s="129"/>
      <c r="M114" s="129">
        <v>3</v>
      </c>
      <c r="N114" s="283">
        <f t="shared" si="7"/>
        <v>96.39</v>
      </c>
      <c r="O114" s="283"/>
      <c r="P114" s="275"/>
      <c r="Q114" s="276"/>
      <c r="R114" s="277"/>
      <c r="S114" s="10"/>
      <c r="T114" s="8"/>
      <c r="W114">
        <f t="shared" si="10"/>
        <v>32.129999999999995</v>
      </c>
    </row>
    <row r="115" spans="1:23" ht="30.75" customHeight="1">
      <c r="A115" s="6"/>
      <c r="B115" s="32" t="s">
        <v>319</v>
      </c>
      <c r="C115" s="48" t="s">
        <v>331</v>
      </c>
      <c r="D115" s="49" t="s">
        <v>237</v>
      </c>
      <c r="E115" s="126" t="s">
        <v>332</v>
      </c>
      <c r="F115" s="272" t="s">
        <v>274</v>
      </c>
      <c r="G115" s="273"/>
      <c r="H115" s="274"/>
      <c r="I115" s="31">
        <v>6</v>
      </c>
      <c r="J115" s="31">
        <v>0.05</v>
      </c>
      <c r="K115" s="25"/>
      <c r="L115" s="129"/>
      <c r="M115" s="129">
        <v>3.5</v>
      </c>
      <c r="N115" s="283">
        <f t="shared" si="7"/>
        <v>1.05</v>
      </c>
      <c r="O115" s="283"/>
      <c r="P115" s="275"/>
      <c r="Q115" s="276"/>
      <c r="R115" s="277"/>
      <c r="S115" s="10"/>
      <c r="T115" s="8"/>
    </row>
    <row r="116" spans="1:23" ht="30.75" customHeight="1">
      <c r="A116" s="6"/>
      <c r="B116" s="32" t="s">
        <v>320</v>
      </c>
      <c r="C116" s="48" t="s">
        <v>331</v>
      </c>
      <c r="D116" s="49" t="s">
        <v>237</v>
      </c>
      <c r="E116" s="126" t="s">
        <v>335</v>
      </c>
      <c r="F116" s="359" t="s">
        <v>267</v>
      </c>
      <c r="G116" s="360"/>
      <c r="H116" s="361"/>
      <c r="I116" s="31">
        <v>13</v>
      </c>
      <c r="J116" s="31">
        <v>2.5</v>
      </c>
      <c r="K116" s="25"/>
      <c r="L116" s="129"/>
      <c r="M116" s="129">
        <v>3</v>
      </c>
      <c r="N116" s="283">
        <f t="shared" si="7"/>
        <v>97.5</v>
      </c>
      <c r="O116" s="283"/>
      <c r="P116" s="275"/>
      <c r="Q116" s="276"/>
      <c r="R116" s="277"/>
      <c r="S116" s="10"/>
      <c r="T116" s="8"/>
      <c r="W116">
        <f t="shared" si="10"/>
        <v>32.5</v>
      </c>
    </row>
    <row r="117" spans="1:23" ht="30.75" customHeight="1">
      <c r="A117" s="6"/>
      <c r="B117" s="32" t="s">
        <v>321</v>
      </c>
      <c r="C117" s="48" t="s">
        <v>331</v>
      </c>
      <c r="D117" s="49" t="s">
        <v>237</v>
      </c>
      <c r="E117" s="126" t="s">
        <v>335</v>
      </c>
      <c r="F117" s="272" t="s">
        <v>269</v>
      </c>
      <c r="G117" s="273"/>
      <c r="H117" s="274"/>
      <c r="I117" s="31">
        <v>2</v>
      </c>
      <c r="J117" s="31">
        <v>1.8</v>
      </c>
      <c r="K117" s="25"/>
      <c r="L117" s="129"/>
      <c r="M117" s="129">
        <v>3</v>
      </c>
      <c r="N117" s="283">
        <f t="shared" si="7"/>
        <v>10.8</v>
      </c>
      <c r="O117" s="283"/>
      <c r="P117" s="275"/>
      <c r="Q117" s="276"/>
      <c r="R117" s="277"/>
      <c r="S117" s="10"/>
      <c r="T117" s="8"/>
      <c r="W117">
        <f t="shared" si="10"/>
        <v>3.6</v>
      </c>
    </row>
    <row r="118" spans="1:23" ht="30.75" customHeight="1">
      <c r="A118" s="6"/>
      <c r="B118" s="32" t="s">
        <v>377</v>
      </c>
      <c r="C118" s="48" t="s">
        <v>331</v>
      </c>
      <c r="D118" s="49" t="s">
        <v>237</v>
      </c>
      <c r="E118" s="126" t="s">
        <v>335</v>
      </c>
      <c r="F118" s="272" t="s">
        <v>273</v>
      </c>
      <c r="G118" s="273"/>
      <c r="H118" s="274"/>
      <c r="I118" s="31">
        <v>18</v>
      </c>
      <c r="J118" s="31">
        <v>0.7</v>
      </c>
      <c r="K118" s="25"/>
      <c r="L118" s="129"/>
      <c r="M118" s="129">
        <v>3</v>
      </c>
      <c r="N118" s="283">
        <f t="shared" si="7"/>
        <v>37.799999999999997</v>
      </c>
      <c r="O118" s="283"/>
      <c r="P118" s="275"/>
      <c r="Q118" s="276"/>
      <c r="R118" s="277"/>
      <c r="S118" s="10"/>
      <c r="T118" s="8"/>
      <c r="W118">
        <f t="shared" si="10"/>
        <v>12.6</v>
      </c>
    </row>
    <row r="119" spans="1:23" ht="21">
      <c r="A119" s="6"/>
      <c r="B119" s="32" t="s">
        <v>378</v>
      </c>
      <c r="C119" s="48" t="s">
        <v>331</v>
      </c>
      <c r="D119" s="49" t="s">
        <v>237</v>
      </c>
      <c r="E119" s="126" t="s">
        <v>335</v>
      </c>
      <c r="F119" s="272" t="s">
        <v>334</v>
      </c>
      <c r="G119" s="273"/>
      <c r="H119" s="274"/>
      <c r="I119" s="31">
        <v>2</v>
      </c>
      <c r="J119" s="31">
        <v>1.2</v>
      </c>
      <c r="K119" s="25"/>
      <c r="L119" s="129"/>
      <c r="M119" s="129">
        <v>3</v>
      </c>
      <c r="N119" s="283">
        <f t="shared" si="7"/>
        <v>7.2</v>
      </c>
      <c r="O119" s="283"/>
      <c r="P119" s="275"/>
      <c r="Q119" s="276"/>
      <c r="R119" s="277"/>
      <c r="S119" s="10"/>
      <c r="T119" s="8"/>
      <c r="W119">
        <f t="shared" si="10"/>
        <v>2.4</v>
      </c>
    </row>
    <row r="120" spans="1:23" ht="23.25" customHeight="1">
      <c r="A120" s="6"/>
      <c r="B120" s="32" t="s">
        <v>379</v>
      </c>
      <c r="C120" s="48" t="s">
        <v>331</v>
      </c>
      <c r="D120" s="49" t="s">
        <v>237</v>
      </c>
      <c r="E120" s="126" t="s">
        <v>335</v>
      </c>
      <c r="F120" s="272" t="s">
        <v>272</v>
      </c>
      <c r="G120" s="273"/>
      <c r="H120" s="274"/>
      <c r="I120" s="31">
        <v>3</v>
      </c>
      <c r="J120" s="31">
        <f>17.53+0.4</f>
        <v>17.93</v>
      </c>
      <c r="K120" s="25"/>
      <c r="L120" s="129"/>
      <c r="M120" s="129">
        <v>3</v>
      </c>
      <c r="N120" s="283">
        <f t="shared" si="7"/>
        <v>161.37</v>
      </c>
      <c r="O120" s="283"/>
      <c r="P120" s="275"/>
      <c r="Q120" s="276"/>
      <c r="R120" s="277"/>
      <c r="S120" s="10"/>
      <c r="T120" s="8"/>
      <c r="W120">
        <f t="shared" si="10"/>
        <v>53.79</v>
      </c>
    </row>
    <row r="121" spans="1:23" ht="30.75" customHeight="1">
      <c r="A121" s="6"/>
      <c r="B121" s="32" t="s">
        <v>380</v>
      </c>
      <c r="C121" s="48" t="s">
        <v>331</v>
      </c>
      <c r="D121" s="49" t="s">
        <v>237</v>
      </c>
      <c r="E121" s="126" t="s">
        <v>335</v>
      </c>
      <c r="F121" s="272" t="s">
        <v>274</v>
      </c>
      <c r="G121" s="273"/>
      <c r="H121" s="274"/>
      <c r="I121" s="117">
        <v>12</v>
      </c>
      <c r="J121" s="31">
        <v>0.05</v>
      </c>
      <c r="K121" s="25"/>
      <c r="L121" s="129"/>
      <c r="M121" s="129">
        <v>3.5</v>
      </c>
      <c r="N121" s="283">
        <f t="shared" si="7"/>
        <v>2.1</v>
      </c>
      <c r="O121" s="283"/>
      <c r="P121" s="275"/>
      <c r="Q121" s="276"/>
      <c r="R121" s="277"/>
      <c r="S121" s="10"/>
      <c r="T121" s="8"/>
    </row>
    <row r="122" spans="1:23" ht="30.75" customHeight="1">
      <c r="A122" s="6"/>
      <c r="B122" s="32" t="s">
        <v>381</v>
      </c>
      <c r="C122" s="48" t="s">
        <v>331</v>
      </c>
      <c r="D122" s="49" t="s">
        <v>237</v>
      </c>
      <c r="E122" s="126" t="s">
        <v>336</v>
      </c>
      <c r="F122" s="359" t="s">
        <v>267</v>
      </c>
      <c r="G122" s="360"/>
      <c r="H122" s="361"/>
      <c r="I122" s="31">
        <v>10</v>
      </c>
      <c r="J122" s="31">
        <v>2.5</v>
      </c>
      <c r="K122" s="25"/>
      <c r="L122" s="129"/>
      <c r="M122" s="129">
        <v>3</v>
      </c>
      <c r="N122" s="283">
        <f t="shared" si="7"/>
        <v>75</v>
      </c>
      <c r="O122" s="283"/>
      <c r="P122" s="275"/>
      <c r="Q122" s="276"/>
      <c r="R122" s="277"/>
      <c r="S122" s="10"/>
      <c r="T122" s="8"/>
      <c r="W122">
        <f t="shared" si="10"/>
        <v>25</v>
      </c>
    </row>
    <row r="123" spans="1:23" ht="30.75" customHeight="1">
      <c r="A123" s="6"/>
      <c r="B123" s="32" t="s">
        <v>382</v>
      </c>
      <c r="C123" s="48" t="s">
        <v>331</v>
      </c>
      <c r="D123" s="49" t="s">
        <v>237</v>
      </c>
      <c r="E123" s="126" t="s">
        <v>336</v>
      </c>
      <c r="F123" s="272" t="s">
        <v>273</v>
      </c>
      <c r="G123" s="273"/>
      <c r="H123" s="274"/>
      <c r="I123" s="31">
        <v>13</v>
      </c>
      <c r="J123" s="31">
        <v>0.7</v>
      </c>
      <c r="K123" s="25"/>
      <c r="L123" s="129"/>
      <c r="M123" s="129">
        <v>3</v>
      </c>
      <c r="N123" s="283">
        <f t="shared" si="7"/>
        <v>27.3</v>
      </c>
      <c r="O123" s="283"/>
      <c r="P123" s="275"/>
      <c r="Q123" s="276"/>
      <c r="R123" s="277"/>
      <c r="S123" s="10"/>
      <c r="T123" s="8"/>
      <c r="W123">
        <f t="shared" si="10"/>
        <v>9.1</v>
      </c>
    </row>
    <row r="124" spans="1:23" ht="19.5" customHeight="1">
      <c r="A124" s="6"/>
      <c r="B124" s="32" t="s">
        <v>383</v>
      </c>
      <c r="C124" s="48" t="s">
        <v>331</v>
      </c>
      <c r="D124" s="49" t="s">
        <v>237</v>
      </c>
      <c r="E124" s="126" t="s">
        <v>336</v>
      </c>
      <c r="F124" s="272" t="s">
        <v>272</v>
      </c>
      <c r="G124" s="273"/>
      <c r="H124" s="274"/>
      <c r="I124" s="31">
        <v>3</v>
      </c>
      <c r="J124" s="31">
        <f>12.54+0.2</f>
        <v>12.739999999999998</v>
      </c>
      <c r="K124" s="25"/>
      <c r="L124" s="129"/>
      <c r="M124" s="129">
        <v>3</v>
      </c>
      <c r="N124" s="283">
        <f t="shared" si="7"/>
        <v>114.66</v>
      </c>
      <c r="O124" s="283"/>
      <c r="P124" s="275"/>
      <c r="Q124" s="276"/>
      <c r="R124" s="277"/>
      <c r="S124" s="10"/>
      <c r="T124" s="8"/>
      <c r="W124">
        <f t="shared" si="10"/>
        <v>38.22</v>
      </c>
    </row>
    <row r="125" spans="1:23" ht="30.75" customHeight="1">
      <c r="A125" s="6"/>
      <c r="B125" s="32" t="s">
        <v>384</v>
      </c>
      <c r="C125" s="48" t="s">
        <v>331</v>
      </c>
      <c r="D125" s="49" t="s">
        <v>237</v>
      </c>
      <c r="E125" s="126" t="s">
        <v>336</v>
      </c>
      <c r="F125" s="272" t="s">
        <v>274</v>
      </c>
      <c r="G125" s="273"/>
      <c r="H125" s="274"/>
      <c r="I125" s="31">
        <v>10</v>
      </c>
      <c r="J125" s="31">
        <v>0.05</v>
      </c>
      <c r="K125" s="25"/>
      <c r="L125" s="129"/>
      <c r="M125" s="129">
        <v>3</v>
      </c>
      <c r="N125" s="283">
        <f t="shared" si="7"/>
        <v>1.5</v>
      </c>
      <c r="O125" s="283"/>
      <c r="P125" s="275"/>
      <c r="Q125" s="276"/>
      <c r="R125" s="277"/>
      <c r="S125" s="10"/>
      <c r="T125" s="8"/>
    </row>
    <row r="126" spans="1:23" ht="30.75" customHeight="1">
      <c r="A126" s="6"/>
      <c r="B126" s="32" t="s">
        <v>385</v>
      </c>
      <c r="C126" s="48" t="s">
        <v>322</v>
      </c>
      <c r="D126" s="49" t="s">
        <v>237</v>
      </c>
      <c r="E126" s="126" t="s">
        <v>337</v>
      </c>
      <c r="F126" s="359" t="s">
        <v>267</v>
      </c>
      <c r="G126" s="360"/>
      <c r="H126" s="361"/>
      <c r="I126" s="31">
        <v>6</v>
      </c>
      <c r="J126" s="31">
        <v>2.5</v>
      </c>
      <c r="K126" s="25"/>
      <c r="L126" s="129"/>
      <c r="M126" s="129">
        <v>3</v>
      </c>
      <c r="N126" s="283">
        <f t="shared" si="7"/>
        <v>45</v>
      </c>
      <c r="O126" s="283"/>
      <c r="P126" s="275"/>
      <c r="Q126" s="276"/>
      <c r="R126" s="277"/>
      <c r="S126" s="10"/>
      <c r="T126" s="8"/>
      <c r="W126">
        <f t="shared" si="10"/>
        <v>15</v>
      </c>
    </row>
    <row r="127" spans="1:23" ht="30.75" customHeight="1">
      <c r="A127" s="6"/>
      <c r="B127" s="32" t="s">
        <v>386</v>
      </c>
      <c r="C127" s="48" t="s">
        <v>322</v>
      </c>
      <c r="D127" s="49" t="s">
        <v>237</v>
      </c>
      <c r="E127" s="126" t="s">
        <v>337</v>
      </c>
      <c r="F127" s="272" t="s">
        <v>273</v>
      </c>
      <c r="G127" s="273"/>
      <c r="H127" s="274"/>
      <c r="I127" s="31">
        <v>8</v>
      </c>
      <c r="J127" s="31">
        <v>0.7</v>
      </c>
      <c r="K127" s="25"/>
      <c r="L127" s="129"/>
      <c r="M127" s="129">
        <v>3</v>
      </c>
      <c r="N127" s="283">
        <f t="shared" si="7"/>
        <v>16.8</v>
      </c>
      <c r="O127" s="283"/>
      <c r="P127" s="275"/>
      <c r="Q127" s="276"/>
      <c r="R127" s="277"/>
      <c r="S127" s="10"/>
      <c r="T127" s="8"/>
      <c r="W127">
        <f t="shared" si="10"/>
        <v>5.6</v>
      </c>
    </row>
    <row r="128" spans="1:23" ht="21">
      <c r="A128" s="6"/>
      <c r="B128" s="32" t="s">
        <v>387</v>
      </c>
      <c r="C128" s="48" t="s">
        <v>322</v>
      </c>
      <c r="D128" s="49" t="s">
        <v>237</v>
      </c>
      <c r="E128" s="126" t="s">
        <v>337</v>
      </c>
      <c r="F128" s="272" t="s">
        <v>272</v>
      </c>
      <c r="G128" s="273"/>
      <c r="H128" s="274"/>
      <c r="I128" s="31">
        <v>3</v>
      </c>
      <c r="J128" s="31">
        <v>7.5</v>
      </c>
      <c r="K128" s="25"/>
      <c r="L128" s="129"/>
      <c r="M128" s="129">
        <v>3</v>
      </c>
      <c r="N128" s="283">
        <f t="shared" si="7"/>
        <v>67.5</v>
      </c>
      <c r="O128" s="283"/>
      <c r="P128" s="275"/>
      <c r="Q128" s="276"/>
      <c r="R128" s="277"/>
      <c r="S128" s="10"/>
      <c r="T128" s="8"/>
      <c r="W128">
        <f t="shared" si="10"/>
        <v>22.5</v>
      </c>
    </row>
    <row r="129" spans="1:24" ht="33" customHeight="1">
      <c r="A129" s="6"/>
      <c r="B129" s="32" t="s">
        <v>388</v>
      </c>
      <c r="C129" s="48" t="s">
        <v>322</v>
      </c>
      <c r="D129" s="49" t="s">
        <v>237</v>
      </c>
      <c r="E129" s="126" t="s">
        <v>337</v>
      </c>
      <c r="F129" s="272" t="s">
        <v>274</v>
      </c>
      <c r="G129" s="273"/>
      <c r="H129" s="274"/>
      <c r="I129" s="31">
        <v>7</v>
      </c>
      <c r="J129" s="31">
        <v>0.05</v>
      </c>
      <c r="K129" s="25"/>
      <c r="L129" s="129"/>
      <c r="M129" s="129">
        <v>3.5</v>
      </c>
      <c r="N129" s="283">
        <f t="shared" si="7"/>
        <v>1.23</v>
      </c>
      <c r="O129" s="283"/>
      <c r="P129" s="275"/>
      <c r="Q129" s="276"/>
      <c r="R129" s="277"/>
      <c r="S129" s="10"/>
      <c r="T129" s="8"/>
    </row>
    <row r="130" spans="1:24" ht="30.75" customHeight="1">
      <c r="A130" s="6"/>
      <c r="B130" s="32" t="s">
        <v>389</v>
      </c>
      <c r="C130" s="48" t="s">
        <v>80</v>
      </c>
      <c r="D130" s="49" t="s">
        <v>237</v>
      </c>
      <c r="E130" s="126" t="s">
        <v>335</v>
      </c>
      <c r="F130" s="272" t="s">
        <v>260</v>
      </c>
      <c r="G130" s="273"/>
      <c r="H130" s="274"/>
      <c r="I130" s="31">
        <f>4*8</f>
        <v>32</v>
      </c>
      <c r="J130" s="31">
        <v>0.28999999999999998</v>
      </c>
      <c r="K130" s="25"/>
      <c r="L130" s="129"/>
      <c r="M130" s="129">
        <v>1.75</v>
      </c>
      <c r="N130" s="283">
        <f t="shared" si="7"/>
        <v>16.239999999999998</v>
      </c>
      <c r="O130" s="283"/>
      <c r="P130" s="275"/>
      <c r="Q130" s="276"/>
      <c r="R130" s="277"/>
      <c r="S130" s="10"/>
      <c r="T130" s="8"/>
      <c r="X130">
        <f>+J130*I130</f>
        <v>9.2799999999999994</v>
      </c>
    </row>
  </sheetData>
  <autoFilter ref="B10:R130">
    <filterColumn colId="4" showButton="0"/>
    <filterColumn colId="5" showButton="0"/>
    <filterColumn colId="12" showButton="0"/>
    <filterColumn colId="14" showButton="0"/>
    <filterColumn colId="15" showButton="0"/>
  </autoFilter>
  <mergeCells count="375">
    <mergeCell ref="B8:E8"/>
    <mergeCell ref="F8:G8"/>
    <mergeCell ref="H8:I8"/>
    <mergeCell ref="K8:L8"/>
    <mergeCell ref="M8:N8"/>
    <mergeCell ref="O8:P8"/>
    <mergeCell ref="Q8:R8"/>
    <mergeCell ref="F10:H10"/>
    <mergeCell ref="N10:O10"/>
    <mergeCell ref="P10:R10"/>
    <mergeCell ref="F4:K4"/>
    <mergeCell ref="F5:K5"/>
    <mergeCell ref="L5:N6"/>
    <mergeCell ref="F6:K6"/>
    <mergeCell ref="F13:H13"/>
    <mergeCell ref="N13:O13"/>
    <mergeCell ref="P13:R13"/>
    <mergeCell ref="F14:H14"/>
    <mergeCell ref="N14:O14"/>
    <mergeCell ref="P14:R14"/>
    <mergeCell ref="F11:H11"/>
    <mergeCell ref="N11:O11"/>
    <mergeCell ref="P11:R11"/>
    <mergeCell ref="F12:H12"/>
    <mergeCell ref="N12:O12"/>
    <mergeCell ref="P12:R12"/>
    <mergeCell ref="F17:H17"/>
    <mergeCell ref="N17:O17"/>
    <mergeCell ref="P17:R17"/>
    <mergeCell ref="F18:H18"/>
    <mergeCell ref="N18:O18"/>
    <mergeCell ref="P18:R18"/>
    <mergeCell ref="F15:H15"/>
    <mergeCell ref="N15:O15"/>
    <mergeCell ref="P15:R15"/>
    <mergeCell ref="F16:H16"/>
    <mergeCell ref="N16:O16"/>
    <mergeCell ref="P16:R16"/>
    <mergeCell ref="F21:H21"/>
    <mergeCell ref="N21:O21"/>
    <mergeCell ref="P21:R21"/>
    <mergeCell ref="F22:H22"/>
    <mergeCell ref="N22:O22"/>
    <mergeCell ref="P22:R22"/>
    <mergeCell ref="F19:H19"/>
    <mergeCell ref="N19:O19"/>
    <mergeCell ref="P19:R19"/>
    <mergeCell ref="F20:H20"/>
    <mergeCell ref="N20:O20"/>
    <mergeCell ref="P20:R20"/>
    <mergeCell ref="F25:H25"/>
    <mergeCell ref="N25:O25"/>
    <mergeCell ref="P25:R25"/>
    <mergeCell ref="F26:H26"/>
    <mergeCell ref="N26:O26"/>
    <mergeCell ref="P26:R26"/>
    <mergeCell ref="F23:H23"/>
    <mergeCell ref="N23:O23"/>
    <mergeCell ref="P23:R23"/>
    <mergeCell ref="F24:H24"/>
    <mergeCell ref="N24:O24"/>
    <mergeCell ref="P24:R24"/>
    <mergeCell ref="F29:H29"/>
    <mergeCell ref="N29:O29"/>
    <mergeCell ref="P29:R29"/>
    <mergeCell ref="F30:H30"/>
    <mergeCell ref="N30:O30"/>
    <mergeCell ref="P30:R30"/>
    <mergeCell ref="F27:H27"/>
    <mergeCell ref="N27:O27"/>
    <mergeCell ref="P27:R27"/>
    <mergeCell ref="F28:H28"/>
    <mergeCell ref="N28:O28"/>
    <mergeCell ref="P28:R28"/>
    <mergeCell ref="F33:H33"/>
    <mergeCell ref="N33:O33"/>
    <mergeCell ref="P33:R33"/>
    <mergeCell ref="F34:H34"/>
    <mergeCell ref="N34:O34"/>
    <mergeCell ref="P34:R34"/>
    <mergeCell ref="F31:H31"/>
    <mergeCell ref="N31:O31"/>
    <mergeCell ref="P31:R31"/>
    <mergeCell ref="F32:H32"/>
    <mergeCell ref="N32:O32"/>
    <mergeCell ref="P32:R32"/>
    <mergeCell ref="F37:H37"/>
    <mergeCell ref="N37:O37"/>
    <mergeCell ref="P37:R37"/>
    <mergeCell ref="F38:H38"/>
    <mergeCell ref="N38:O38"/>
    <mergeCell ref="P38:R38"/>
    <mergeCell ref="F35:H35"/>
    <mergeCell ref="N35:O35"/>
    <mergeCell ref="P35:R35"/>
    <mergeCell ref="F36:H36"/>
    <mergeCell ref="N36:O36"/>
    <mergeCell ref="P36:R36"/>
    <mergeCell ref="F41:H41"/>
    <mergeCell ref="N41:O41"/>
    <mergeCell ref="P41:R41"/>
    <mergeCell ref="F42:H42"/>
    <mergeCell ref="N42:O42"/>
    <mergeCell ref="P42:R42"/>
    <mergeCell ref="F39:H39"/>
    <mergeCell ref="N39:O39"/>
    <mergeCell ref="P39:R39"/>
    <mergeCell ref="F40:H40"/>
    <mergeCell ref="N40:O40"/>
    <mergeCell ref="P40:R40"/>
    <mergeCell ref="F45:H45"/>
    <mergeCell ref="N45:O45"/>
    <mergeCell ref="P45:R45"/>
    <mergeCell ref="F46:H46"/>
    <mergeCell ref="N46:O46"/>
    <mergeCell ref="P46:R46"/>
    <mergeCell ref="F43:H43"/>
    <mergeCell ref="N43:O43"/>
    <mergeCell ref="P43:R43"/>
    <mergeCell ref="F44:H44"/>
    <mergeCell ref="N44:O44"/>
    <mergeCell ref="P44:R44"/>
    <mergeCell ref="F49:H49"/>
    <mergeCell ref="N49:O49"/>
    <mergeCell ref="P49:R49"/>
    <mergeCell ref="F50:H50"/>
    <mergeCell ref="N50:O50"/>
    <mergeCell ref="P50:R50"/>
    <mergeCell ref="F47:H47"/>
    <mergeCell ref="N47:O47"/>
    <mergeCell ref="P47:R47"/>
    <mergeCell ref="F48:H48"/>
    <mergeCell ref="N48:O48"/>
    <mergeCell ref="P48:R48"/>
    <mergeCell ref="F53:H53"/>
    <mergeCell ref="N53:O53"/>
    <mergeCell ref="P53:R53"/>
    <mergeCell ref="F54:H54"/>
    <mergeCell ref="N54:O54"/>
    <mergeCell ref="P54:R54"/>
    <mergeCell ref="F51:H51"/>
    <mergeCell ref="N51:O51"/>
    <mergeCell ref="P51:R51"/>
    <mergeCell ref="F52:H52"/>
    <mergeCell ref="N52:O52"/>
    <mergeCell ref="P52:R52"/>
    <mergeCell ref="C57:D57"/>
    <mergeCell ref="F57:H57"/>
    <mergeCell ref="N57:O57"/>
    <mergeCell ref="P57:R57"/>
    <mergeCell ref="F58:H58"/>
    <mergeCell ref="N58:O58"/>
    <mergeCell ref="P58:R58"/>
    <mergeCell ref="F55:H55"/>
    <mergeCell ref="N55:O55"/>
    <mergeCell ref="P55:R55"/>
    <mergeCell ref="F56:H56"/>
    <mergeCell ref="N56:O56"/>
    <mergeCell ref="P56:R56"/>
    <mergeCell ref="F61:H61"/>
    <mergeCell ref="N61:O61"/>
    <mergeCell ref="P61:R61"/>
    <mergeCell ref="F62:H62"/>
    <mergeCell ref="N62:O62"/>
    <mergeCell ref="P62:R62"/>
    <mergeCell ref="F59:H59"/>
    <mergeCell ref="N59:O59"/>
    <mergeCell ref="P59:R59"/>
    <mergeCell ref="F60:H60"/>
    <mergeCell ref="N60:O60"/>
    <mergeCell ref="P60:R60"/>
    <mergeCell ref="F65:H65"/>
    <mergeCell ref="N65:O65"/>
    <mergeCell ref="P65:R65"/>
    <mergeCell ref="F66:H66"/>
    <mergeCell ref="N66:O66"/>
    <mergeCell ref="P66:R66"/>
    <mergeCell ref="F63:H63"/>
    <mergeCell ref="N63:O63"/>
    <mergeCell ref="P63:R63"/>
    <mergeCell ref="F64:H64"/>
    <mergeCell ref="N64:O64"/>
    <mergeCell ref="P64:R64"/>
    <mergeCell ref="F69:H69"/>
    <mergeCell ref="N69:O69"/>
    <mergeCell ref="P69:R69"/>
    <mergeCell ref="F70:H70"/>
    <mergeCell ref="N70:O70"/>
    <mergeCell ref="P70:R70"/>
    <mergeCell ref="F67:H67"/>
    <mergeCell ref="N67:O67"/>
    <mergeCell ref="P67:R67"/>
    <mergeCell ref="F68:H68"/>
    <mergeCell ref="N68:O68"/>
    <mergeCell ref="P68:R68"/>
    <mergeCell ref="F73:H73"/>
    <mergeCell ref="N73:O73"/>
    <mergeCell ref="P73:R73"/>
    <mergeCell ref="F74:H74"/>
    <mergeCell ref="N74:O74"/>
    <mergeCell ref="P74:R74"/>
    <mergeCell ref="F71:H71"/>
    <mergeCell ref="N71:O71"/>
    <mergeCell ref="P71:R71"/>
    <mergeCell ref="F72:H72"/>
    <mergeCell ref="N72:O72"/>
    <mergeCell ref="P72:R72"/>
    <mergeCell ref="F77:H77"/>
    <mergeCell ref="N77:O77"/>
    <mergeCell ref="P77:R77"/>
    <mergeCell ref="F78:H78"/>
    <mergeCell ref="N78:O78"/>
    <mergeCell ref="P78:R78"/>
    <mergeCell ref="F75:H75"/>
    <mergeCell ref="N75:O75"/>
    <mergeCell ref="P75:R75"/>
    <mergeCell ref="F76:H76"/>
    <mergeCell ref="N76:O76"/>
    <mergeCell ref="P76:R76"/>
    <mergeCell ref="F81:H81"/>
    <mergeCell ref="N81:O81"/>
    <mergeCell ref="P81:R81"/>
    <mergeCell ref="F82:H82"/>
    <mergeCell ref="N82:O82"/>
    <mergeCell ref="P82:R82"/>
    <mergeCell ref="F79:H79"/>
    <mergeCell ref="N79:O79"/>
    <mergeCell ref="P79:R79"/>
    <mergeCell ref="F80:H80"/>
    <mergeCell ref="N80:O80"/>
    <mergeCell ref="P80:R80"/>
    <mergeCell ref="F85:H85"/>
    <mergeCell ref="N85:O85"/>
    <mergeCell ref="P85:R85"/>
    <mergeCell ref="F86:H86"/>
    <mergeCell ref="N86:O86"/>
    <mergeCell ref="P86:R86"/>
    <mergeCell ref="F83:H83"/>
    <mergeCell ref="N83:O83"/>
    <mergeCell ref="P83:R83"/>
    <mergeCell ref="F84:H84"/>
    <mergeCell ref="N84:O84"/>
    <mergeCell ref="P84:R84"/>
    <mergeCell ref="F89:H89"/>
    <mergeCell ref="N89:O89"/>
    <mergeCell ref="P89:R89"/>
    <mergeCell ref="F90:H90"/>
    <mergeCell ref="N90:O90"/>
    <mergeCell ref="P90:R90"/>
    <mergeCell ref="F87:H87"/>
    <mergeCell ref="N87:O87"/>
    <mergeCell ref="P87:R87"/>
    <mergeCell ref="F88:H88"/>
    <mergeCell ref="N88:O88"/>
    <mergeCell ref="P88:R88"/>
    <mergeCell ref="F93:H93"/>
    <mergeCell ref="N93:O93"/>
    <mergeCell ref="P93:R93"/>
    <mergeCell ref="F94:H94"/>
    <mergeCell ref="N94:O94"/>
    <mergeCell ref="P94:R94"/>
    <mergeCell ref="F91:H91"/>
    <mergeCell ref="N91:O91"/>
    <mergeCell ref="P91:R91"/>
    <mergeCell ref="F92:H92"/>
    <mergeCell ref="N92:O92"/>
    <mergeCell ref="P92:R92"/>
    <mergeCell ref="F97:H97"/>
    <mergeCell ref="N97:O97"/>
    <mergeCell ref="P97:R97"/>
    <mergeCell ref="F98:H98"/>
    <mergeCell ref="N98:O98"/>
    <mergeCell ref="P98:R98"/>
    <mergeCell ref="F95:H95"/>
    <mergeCell ref="N95:O95"/>
    <mergeCell ref="P95:R95"/>
    <mergeCell ref="F96:H96"/>
    <mergeCell ref="N96:O96"/>
    <mergeCell ref="P96:R96"/>
    <mergeCell ref="F101:H101"/>
    <mergeCell ref="N101:O101"/>
    <mergeCell ref="P101:R101"/>
    <mergeCell ref="F102:H102"/>
    <mergeCell ref="N102:O102"/>
    <mergeCell ref="P102:R102"/>
    <mergeCell ref="F99:H99"/>
    <mergeCell ref="N99:O99"/>
    <mergeCell ref="P99:R99"/>
    <mergeCell ref="F100:H100"/>
    <mergeCell ref="N100:O100"/>
    <mergeCell ref="P100:R100"/>
    <mergeCell ref="F105:H105"/>
    <mergeCell ref="N105:O105"/>
    <mergeCell ref="P105:R105"/>
    <mergeCell ref="F106:H106"/>
    <mergeCell ref="N106:O106"/>
    <mergeCell ref="P106:R106"/>
    <mergeCell ref="F103:H103"/>
    <mergeCell ref="N103:O103"/>
    <mergeCell ref="P103:R103"/>
    <mergeCell ref="F104:H104"/>
    <mergeCell ref="N104:O104"/>
    <mergeCell ref="P104:R104"/>
    <mergeCell ref="F109:H109"/>
    <mergeCell ref="N109:O109"/>
    <mergeCell ref="P109:R109"/>
    <mergeCell ref="F110:H110"/>
    <mergeCell ref="N110:O110"/>
    <mergeCell ref="P110:R110"/>
    <mergeCell ref="F107:H107"/>
    <mergeCell ref="N107:O107"/>
    <mergeCell ref="P107:R107"/>
    <mergeCell ref="F108:H108"/>
    <mergeCell ref="N108:O108"/>
    <mergeCell ref="P108:R108"/>
    <mergeCell ref="F113:H113"/>
    <mergeCell ref="N113:O113"/>
    <mergeCell ref="P113:R113"/>
    <mergeCell ref="F114:H114"/>
    <mergeCell ref="N114:O114"/>
    <mergeCell ref="P114:R114"/>
    <mergeCell ref="F111:H111"/>
    <mergeCell ref="N111:O111"/>
    <mergeCell ref="P111:R111"/>
    <mergeCell ref="F112:H112"/>
    <mergeCell ref="N112:O112"/>
    <mergeCell ref="P112:R112"/>
    <mergeCell ref="F117:H117"/>
    <mergeCell ref="N117:O117"/>
    <mergeCell ref="P117:R117"/>
    <mergeCell ref="F118:H118"/>
    <mergeCell ref="N118:O118"/>
    <mergeCell ref="P118:R118"/>
    <mergeCell ref="F115:H115"/>
    <mergeCell ref="N115:O115"/>
    <mergeCell ref="P115:R115"/>
    <mergeCell ref="F116:H116"/>
    <mergeCell ref="N116:O116"/>
    <mergeCell ref="P116:R116"/>
    <mergeCell ref="F121:H121"/>
    <mergeCell ref="N121:O121"/>
    <mergeCell ref="P121:R121"/>
    <mergeCell ref="F122:H122"/>
    <mergeCell ref="N122:O122"/>
    <mergeCell ref="P122:R122"/>
    <mergeCell ref="F119:H119"/>
    <mergeCell ref="N119:O119"/>
    <mergeCell ref="P119:R119"/>
    <mergeCell ref="F120:H120"/>
    <mergeCell ref="N120:O120"/>
    <mergeCell ref="P120:R120"/>
    <mergeCell ref="F125:H125"/>
    <mergeCell ref="N125:O125"/>
    <mergeCell ref="P125:R125"/>
    <mergeCell ref="F126:H126"/>
    <mergeCell ref="N126:O126"/>
    <mergeCell ref="P126:R126"/>
    <mergeCell ref="F123:H123"/>
    <mergeCell ref="N123:O123"/>
    <mergeCell ref="P123:R123"/>
    <mergeCell ref="F124:H124"/>
    <mergeCell ref="N124:O124"/>
    <mergeCell ref="P124:R124"/>
    <mergeCell ref="F129:H129"/>
    <mergeCell ref="N129:O129"/>
    <mergeCell ref="P129:R129"/>
    <mergeCell ref="F130:H130"/>
    <mergeCell ref="N130:O130"/>
    <mergeCell ref="P130:R130"/>
    <mergeCell ref="F127:H127"/>
    <mergeCell ref="N127:O127"/>
    <mergeCell ref="P127:R127"/>
    <mergeCell ref="F128:H128"/>
    <mergeCell ref="N128:O128"/>
    <mergeCell ref="P128:R128"/>
  </mergeCells>
  <printOptions horizontalCentered="1" headings="1" gridLines="1"/>
  <pageMargins left="0.196850393700787" right="7.8740157480315001E-2" top="0.196850393700787" bottom="0.78740157480314998" header="1.2992125984252001" footer="0.47244094488188998"/>
  <pageSetup paperSize="9" orientation="portrait" r:id="rId1"/>
  <headerFooter>
    <oddHeader xml:space="preserve">&amp;L&amp;"B Nazanin,Regular"&amp;9            &amp;Pاز&amp;N      </oddHeader>
    <oddFooter>&amp;C&amp;"B Nazanin,Regular"&amp;10                                     تأیید کننده:&amp;R&amp;"B Nazanin,Regular"&amp;10                                        پیمانکار: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روکش</vt:lpstr>
      <vt:lpstr>خلاصه مالی</vt:lpstr>
      <vt:lpstr>ریزمتره1</vt:lpstr>
      <vt:lpstr>کسورات</vt:lpstr>
      <vt:lpstr>94.04.22</vt:lpstr>
      <vt:lpstr>Sheet1</vt:lpstr>
      <vt:lpstr>ریزمتره1 (2)</vt:lpstr>
      <vt:lpstr>'94.04.22'!Print_Area</vt:lpstr>
      <vt:lpstr>'خلاصه مالی'!Print_Area</vt:lpstr>
      <vt:lpstr>روکش!Print_Area</vt:lpstr>
      <vt:lpstr>ریزمتره1!Print_Area</vt:lpstr>
      <vt:lpstr>'ریزمتره1 (2)'!Print_Area</vt:lpstr>
      <vt:lpstr>کسورات!Print_Area</vt:lpstr>
      <vt:lpstr>روکش!Print_Titles</vt:lpstr>
      <vt:lpstr>ریزمتره1!Print_Titles</vt:lpstr>
      <vt:lpstr>'ریزمتره1 (2)'!Print_Titles</vt:lpstr>
      <vt:lpstr>کسورات!Print_Titles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arsham</dc:creator>
  <cp:lastModifiedBy>eghbal</cp:lastModifiedBy>
  <cp:lastPrinted>2019-07-31T06:36:40Z</cp:lastPrinted>
  <dcterms:created xsi:type="dcterms:W3CDTF">2016-01-28T10:20:19Z</dcterms:created>
  <dcterms:modified xsi:type="dcterms:W3CDTF">2019-08-10T05:19:38Z</dcterms:modified>
  <cp:contentStatus/>
</cp:coreProperties>
</file>